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firstSheet="4" activeTab="8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县对下转移支付预算表09-1" sheetId="13" r:id="rId13"/>
    <sheet name="县对下转移支付绩效目标表09-2" sheetId="14" r:id="rId14"/>
    <sheet name="新增资产配置表10" sheetId="15" r:id="rId15"/>
    <sheet name="转移支付补助项目支出预算表11" sheetId="16" r:id="rId16"/>
    <sheet name="部门项目中期规划预算表12" sheetId="17" r:id="rId1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<sst xmlns="http://schemas.openxmlformats.org/spreadsheetml/2006/main" count="2227" uniqueCount="583">
  <si>
    <t>预算01-1表</t>
  </si>
  <si>
    <t>单位:元</t>
  </si>
  <si>
    <t>收        入</t>
  </si>
  <si>
    <t>支        出</t>
  </si>
  <si>
    <t>项      目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</si>
  <si>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</si>
  <si>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</si>
  <si>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</si>
  <si>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</si>
  <si>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</si>
  <si>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</si>
  <si>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</si>
  <si>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</si>
  <si>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</si>
  <si>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五、单位资金收入</t>
  </si>
  <si>
    <t>五、教育支出</t>
  </si>
  <si>
    <t xml:space="preserve"> 1、事业收入</t>
  </si>
  <si>
    <t>六、科学技术支出</t>
  </si>
  <si>
    <t xml:space="preserve"> 2、事业单位经营收入</t>
  </si>
  <si>
    <t>七、文化旅游体育与传媒支出</t>
  </si>
  <si>
    <t xml:space="preserve"> 3、上级补助收入</t>
  </si>
  <si>
    <t>八、社会保障和就业支出</t>
  </si>
  <si>
    <t xml:space="preserve"> 4、附属单位上缴收入</t>
  </si>
  <si>
    <t>九、卫生健康支出</t>
  </si>
  <si>
    <t xml:space="preserve"> 5、其他收入</t>
  </si>
  <si>
    <t>十、节能环保支出</t>
  </si>
  <si>
    <t>　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</si>
  <si>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</si>
  <si>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</si>
  <si>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</si>
  <si>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</si>
  <si>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</si>
  <si>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</si>
  <si>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</si>
  <si>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</si>
  <si>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</si>
  <si>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</si>
  <si>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二十一、国有资本经营预算支出</t>
  </si>
  <si>
    <t>二十二、灾害防治及应急管理支出</t>
  </si>
  <si>
    <t>二十三、预备费</t>
  </si>
  <si>
    <t>二十四、其他支出</t>
  </si>
  <si>
    <t>二十五、债务还本支出</t>
  </si>
  <si>
    <t>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</si>
  <si>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</si>
  <si>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</si>
  <si>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</si>
  <si>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</si>
  <si>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</si>
  <si>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</si>
  <si>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</si>
  <si>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</si>
  <si>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出 总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</si>
  <si>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</si>
  <si>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</si>
  <si>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</si>
  <si>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</si>
  <si>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</si>
  <si>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</si>
  <si>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</si>
  <si>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</si>
  <si>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</si>
  <si>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</si>
  <si>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单位资金收入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</si>
  <si>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</si>
  <si>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</si>
  <si>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</si>
  <si>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</si>
  <si>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</si>
  <si>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</si>
  <si>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575002</t>
  </si>
  <si>
    <t>四排山乡人民政府</t>
  </si>
  <si>
    <t>预算01-3表</t>
  </si>
  <si>
    <t>科目编码</t>
  </si>
  <si>
    <t>科目名称</t>
  </si>
  <si>
    <t>基本支出</t>
  </si>
  <si>
    <t>项目支出</t>
  </si>
  <si>
    <t>财政专户管理的支出</t>
  </si>
  <si>
    <t>单位资金</t>
  </si>
  <si>
    <t>事业支出</t>
  </si>
  <si>
    <t>事业单位
经营支出</t>
  </si>
  <si>
    <t>上级补助支出</t>
  </si>
  <si>
    <t>附属单位补助支出</t>
  </si>
  <si>
    <t>其他支出</t>
  </si>
  <si>
    <t>201</t>
  </si>
  <si>
    <t>一般公共服务支出</t>
  </si>
  <si>
    <t>204</t>
  </si>
  <si>
    <t>公共安全支出</t>
  </si>
  <si>
    <t>207</t>
  </si>
  <si>
    <t>文化旅游体育与传媒支出</t>
  </si>
  <si>
    <t>208</t>
  </si>
  <si>
    <t>社会保障和就业支出</t>
  </si>
  <si>
    <t>210</t>
  </si>
  <si>
    <t>卫生健康支出</t>
  </si>
  <si>
    <t>211</t>
  </si>
  <si>
    <t>节能环保支出</t>
  </si>
  <si>
    <t>212</t>
  </si>
  <si>
    <t>城乡社区支出</t>
  </si>
  <si>
    <t>213</t>
  </si>
  <si>
    <t>农林水支出</t>
  </si>
  <si>
    <t>221</t>
  </si>
  <si>
    <t>住房保障支出</t>
  </si>
  <si>
    <t>224</t>
  </si>
  <si>
    <t>灾害防治及应急管理支出</t>
  </si>
  <si>
    <t>合  计</t>
  </si>
  <si>
    <t>预算02-1表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</si>
  <si>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</si>
  <si>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</si>
  <si>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</si>
  <si>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</si>
  <si>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</si>
  <si>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</si>
  <si>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</si>
  <si>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</si>
  <si>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</si>
  <si>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</si>
  <si>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</si>
  <si>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</si>
  <si>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</si>
  <si>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</si>
  <si>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</si>
  <si>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</si>
  <si>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</si>
  <si>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</si>
  <si>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</si>
  <si>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</si>
  <si>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</si>
  <si>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</si>
  <si>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</si>
  <si>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</si>
  <si>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</si>
  <si>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</si>
  <si>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</si>
  <si>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</si>
  <si>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</si>
  <si>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</si>
  <si>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</si>
  <si>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（二十五）债务还本支出</t>
  </si>
  <si>
    <t>（二十六）债务付息支出</t>
  </si>
  <si>
    <t>二、年终结转结余</t>
  </si>
  <si>
    <t>收 入 总 计</t>
  </si>
  <si>
    <t>预算02-2表</t>
  </si>
  <si>
    <t>部门预算支出功能分类科目</t>
  </si>
  <si>
    <t>人员经费</t>
  </si>
  <si>
    <t>公用经费</t>
  </si>
  <si>
    <t>1</t>
  </si>
  <si>
    <t>2</t>
  </si>
  <si>
    <t>3</t>
  </si>
  <si>
    <t>5</t>
  </si>
  <si>
    <t>6</t>
  </si>
  <si>
    <t>7</t>
  </si>
  <si>
    <t>20101</t>
  </si>
  <si>
    <t>人大事务</t>
  </si>
  <si>
    <t>2010101</t>
  </si>
  <si>
    <t>行政运行</t>
  </si>
  <si>
    <t>2010102</t>
  </si>
  <si>
    <t>一般行政管理事务</t>
  </si>
  <si>
    <t>20103</t>
  </si>
  <si>
    <t>政府办公厅（室）及相关机构事务</t>
  </si>
  <si>
    <t>2010301</t>
  </si>
  <si>
    <t>2010302</t>
  </si>
  <si>
    <t>2010399</t>
  </si>
  <si>
    <t>其他政府办公厅（室）及相关机构事务支出</t>
  </si>
  <si>
    <t>20104</t>
  </si>
  <si>
    <t>发展与改革事务</t>
  </si>
  <si>
    <t>2010406</t>
  </si>
  <si>
    <t>社会事业发展规划</t>
  </si>
  <si>
    <t>20105</t>
  </si>
  <si>
    <t>统计信息事务</t>
  </si>
  <si>
    <t>2010508</t>
  </si>
  <si>
    <t>统计抽样调查</t>
  </si>
  <si>
    <t>20111</t>
  </si>
  <si>
    <t>纪检监察事务</t>
  </si>
  <si>
    <t>2011101</t>
  </si>
  <si>
    <t>20129</t>
  </si>
  <si>
    <t>群众团体事务</t>
  </si>
  <si>
    <t>2012901</t>
  </si>
  <si>
    <t>20131</t>
  </si>
  <si>
    <t>党委办公厅（室）及相关机构事务</t>
  </si>
  <si>
    <t>2013101</t>
  </si>
  <si>
    <t>20136</t>
  </si>
  <si>
    <t>其他共产党事务支出</t>
  </si>
  <si>
    <t>2013650</t>
  </si>
  <si>
    <t>事业运行</t>
  </si>
  <si>
    <t>20138</t>
  </si>
  <si>
    <t>市场监督管理事务</t>
  </si>
  <si>
    <t>2013899</t>
  </si>
  <si>
    <t>其他市场监督管理事务</t>
  </si>
  <si>
    <t>20139</t>
  </si>
  <si>
    <t>社会工作事务</t>
  </si>
  <si>
    <t>2013901</t>
  </si>
  <si>
    <t>20402</t>
  </si>
  <si>
    <t>公安</t>
  </si>
  <si>
    <t>2040299</t>
  </si>
  <si>
    <t>其他公安支出</t>
  </si>
  <si>
    <t>20701</t>
  </si>
  <si>
    <t>文化和旅游</t>
  </si>
  <si>
    <t>2070199</t>
  </si>
  <si>
    <t>其他文化和旅游支出</t>
  </si>
  <si>
    <t>20801</t>
  </si>
  <si>
    <t>人力资源和社会保障管理事务</t>
  </si>
  <si>
    <t>2080199</t>
  </si>
  <si>
    <t>其他人力资源和社会保障管理事务支出</t>
  </si>
  <si>
    <t>20805</t>
  </si>
  <si>
    <t>行政事业单位养老支出</t>
  </si>
  <si>
    <t>2080501</t>
  </si>
  <si>
    <t>行政单位离退休</t>
  </si>
  <si>
    <t>2080505</t>
  </si>
  <si>
    <t>机关事业单位基本养老保险缴费支出</t>
  </si>
  <si>
    <t>20808</t>
  </si>
  <si>
    <t>抚恤</t>
  </si>
  <si>
    <t>2080801</t>
  </si>
  <si>
    <t>死亡抚恤</t>
  </si>
  <si>
    <t>20811</t>
  </si>
  <si>
    <t>残疾人事业</t>
  </si>
  <si>
    <t>2081199</t>
  </si>
  <si>
    <t>其他残疾人事业支出</t>
  </si>
  <si>
    <t>20825</t>
  </si>
  <si>
    <t>其他生活救助</t>
  </si>
  <si>
    <t>2082502</t>
  </si>
  <si>
    <t>其他农村生活救助</t>
  </si>
  <si>
    <t>21007</t>
  </si>
  <si>
    <t>计划生育事务</t>
  </si>
  <si>
    <t>2100799</t>
  </si>
  <si>
    <t>其他计划生育事务支出</t>
  </si>
  <si>
    <t>21011</t>
  </si>
  <si>
    <t>行政事业单位医疗</t>
  </si>
  <si>
    <t>2101101</t>
  </si>
  <si>
    <t>行政单位医疗</t>
  </si>
  <si>
    <t>2101102</t>
  </si>
  <si>
    <t>事业单位医疗</t>
  </si>
  <si>
    <t>2101199</t>
  </si>
  <si>
    <t>其他行政事业单位医疗支出</t>
  </si>
  <si>
    <t>21104</t>
  </si>
  <si>
    <t>自然生态保护</t>
  </si>
  <si>
    <t>2110402</t>
  </si>
  <si>
    <t>农村环境保护</t>
  </si>
  <si>
    <t>21201</t>
  </si>
  <si>
    <t>城乡社区管理事务</t>
  </si>
  <si>
    <t>2120104</t>
  </si>
  <si>
    <t>城管执法</t>
  </si>
  <si>
    <t>21202</t>
  </si>
  <si>
    <t>城乡社区规划与管理</t>
  </si>
  <si>
    <t>2120201</t>
  </si>
  <si>
    <t>21301</t>
  </si>
  <si>
    <t>农业农村</t>
  </si>
  <si>
    <t>2130104</t>
  </si>
  <si>
    <t>2130126</t>
  </si>
  <si>
    <t>农村社会事业</t>
  </si>
  <si>
    <t>2130199</t>
  </si>
  <si>
    <t>其他农业农村支出</t>
  </si>
  <si>
    <t>21305</t>
  </si>
  <si>
    <t>巩固脱贫攻坚成果衔接乡村振兴</t>
  </si>
  <si>
    <t>2130504</t>
  </si>
  <si>
    <t>农村基础设施建设</t>
  </si>
  <si>
    <t>22102</t>
  </si>
  <si>
    <t>住房改革支出</t>
  </si>
  <si>
    <t>2210201</t>
  </si>
  <si>
    <t>住房公积金</t>
  </si>
  <si>
    <t>22401</t>
  </si>
  <si>
    <t>应急管理事务</t>
  </si>
  <si>
    <t>2240101</t>
  </si>
  <si>
    <t>预算03表</t>
  </si>
  <si>
    <t>一般公共预算“三公”经费支出预算表</t>
  </si>
  <si>
    <t>单位：元</t>
  </si>
  <si>
    <t>“三公”经费上年合计</t>
  </si>
  <si>
    <t>“三公”经费当年合计</t>
  </si>
  <si>
    <t>因公出国（境）费</t>
  </si>
  <si>
    <t>公务用车购置及运行费</t>
  </si>
  <si>
    <t>公务接待费</t>
  </si>
  <si>
    <t>上年数</t>
  </si>
  <si>
    <t>当年数</t>
  </si>
  <si>
    <t>公务用车购置费</t>
  </si>
  <si>
    <t>公务用车运行费</t>
  </si>
  <si>
    <t>预算04表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</si>
  <si>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</si>
  <si>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</si>
  <si>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</si>
  <si>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</si>
  <si>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</si>
  <si>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</si>
  <si>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</si>
  <si>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</si>
  <si>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</si>
  <si>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</si>
  <si>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</si>
  <si>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</si>
  <si>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</si>
  <si>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</si>
  <si>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</si>
  <si>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</si>
  <si>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</si>
  <si>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耿马傣族佤族自治县四排山乡</t>
  </si>
  <si>
    <t>530926221100000523768</t>
  </si>
  <si>
    <t>行政人员工资支出</t>
  </si>
  <si>
    <t>30101</t>
  </si>
  <si>
    <t>基本工资</t>
  </si>
  <si>
    <t>530926221100000523773</t>
  </si>
  <si>
    <t>事业人员工资支出</t>
  </si>
  <si>
    <t>30102</t>
  </si>
  <si>
    <t>津贴补贴</t>
  </si>
  <si>
    <t>530926241100002365015</t>
  </si>
  <si>
    <t>乡镇岗位补贴（行政）</t>
  </si>
  <si>
    <t>530926241100002365019</t>
  </si>
  <si>
    <t>乡镇岗位补贴（事业）</t>
  </si>
  <si>
    <t>30103</t>
  </si>
  <si>
    <t>奖金</t>
  </si>
  <si>
    <t>530926231100001415314</t>
  </si>
  <si>
    <t>行政人员绩效考核奖励（2017年提高部分）</t>
  </si>
  <si>
    <t>530926231100001415319</t>
  </si>
  <si>
    <t>奖励性绩效工资</t>
  </si>
  <si>
    <t>30107</t>
  </si>
  <si>
    <t>绩效工资</t>
  </si>
  <si>
    <t>530926231100001415321</t>
  </si>
  <si>
    <t>事业人员绩效工资（2017年提高部分）</t>
  </si>
  <si>
    <t>530926231100001415297</t>
  </si>
  <si>
    <t>基础性绩效工资</t>
  </si>
  <si>
    <t>530926221100000523774</t>
  </si>
  <si>
    <t>社会保障缴费</t>
  </si>
  <si>
    <t>30108</t>
  </si>
  <si>
    <t>机关事业单位基本养老保险缴费</t>
  </si>
  <si>
    <t>2080506</t>
  </si>
  <si>
    <t>机关事业单位职业年金缴费支出</t>
  </si>
  <si>
    <t>30109</t>
  </si>
  <si>
    <t>职业年金缴费</t>
  </si>
  <si>
    <t>30110</t>
  </si>
  <si>
    <t>职工基本医疗保险缴费</t>
  </si>
  <si>
    <t>2101103</t>
  </si>
  <si>
    <t>公务员医疗补助</t>
  </si>
  <si>
    <t>30111</t>
  </si>
  <si>
    <t>公务员医疗补助缴费</t>
  </si>
  <si>
    <t>30112</t>
  </si>
  <si>
    <t>其他社会保障缴费</t>
  </si>
  <si>
    <t>530926221100000523776</t>
  </si>
  <si>
    <t>30113</t>
  </si>
  <si>
    <t>530926231100001415346</t>
  </si>
  <si>
    <t>村（居）民小组运转经费</t>
  </si>
  <si>
    <t>30201</t>
  </si>
  <si>
    <t>办公费</t>
  </si>
  <si>
    <t>530926221100000523809</t>
  </si>
  <si>
    <t>一般公用经费</t>
  </si>
  <si>
    <t>30206</t>
  </si>
  <si>
    <t>电费</t>
  </si>
  <si>
    <t>530926241100002365010</t>
  </si>
  <si>
    <t>公务接待费（公用经费）</t>
  </si>
  <si>
    <t>30217</t>
  </si>
  <si>
    <t>30207</t>
  </si>
  <si>
    <t>邮电费</t>
  </si>
  <si>
    <t>30211</t>
  </si>
  <si>
    <t>差旅费</t>
  </si>
  <si>
    <t>530926241100002365012</t>
  </si>
  <si>
    <t>行政村工作经费</t>
  </si>
  <si>
    <t>530926221100000523807</t>
  </si>
  <si>
    <t>工会经费</t>
  </si>
  <si>
    <t>30228</t>
  </si>
  <si>
    <t>530926221100000523778</t>
  </si>
  <si>
    <t>公务用车运行维护费</t>
  </si>
  <si>
    <t>30231</t>
  </si>
  <si>
    <t>530926221100000523780</t>
  </si>
  <si>
    <t>行政人员公务交通补贴</t>
  </si>
  <si>
    <t>30239</t>
  </si>
  <si>
    <t>其他交通费用</t>
  </si>
  <si>
    <t>530926251100003812521</t>
  </si>
  <si>
    <t>残疾人就业保障金</t>
  </si>
  <si>
    <t>30299</t>
  </si>
  <si>
    <t>其他商品和服务支出</t>
  </si>
  <si>
    <t>530926221100000523777</t>
  </si>
  <si>
    <t>离退休费</t>
  </si>
  <si>
    <t>30302</t>
  </si>
  <si>
    <t>退休费</t>
  </si>
  <si>
    <t>530926251100003813199</t>
  </si>
  <si>
    <t>社区下设党支部工作经费</t>
  </si>
  <si>
    <t>530926241100002365022</t>
  </si>
  <si>
    <t>村纪律监督小组工作经费</t>
  </si>
  <si>
    <t>530926241100002365008</t>
  </si>
  <si>
    <t>大岗位制生活补助</t>
  </si>
  <si>
    <t>30305</t>
  </si>
  <si>
    <t>生活补助</t>
  </si>
  <si>
    <t>530926241100002365006</t>
  </si>
  <si>
    <t>大岗位制财政补助人员</t>
  </si>
  <si>
    <t>530926251100003813722</t>
  </si>
  <si>
    <t>村民小组党支部书记</t>
  </si>
  <si>
    <t>530926251100003813261</t>
  </si>
  <si>
    <t>村民小组干部“一肩挑”</t>
  </si>
  <si>
    <t>530926251100003813720</t>
  </si>
  <si>
    <t>村民小组长</t>
  </si>
  <si>
    <t>530926251100003825752</t>
  </si>
  <si>
    <t>村（居）民小组副组长</t>
  </si>
  <si>
    <t>530926231100001415352</t>
  </si>
  <si>
    <t>村（社区）委员</t>
  </si>
  <si>
    <t>530926231100001415335</t>
  </si>
  <si>
    <t>村（社区）监督委员会委员</t>
  </si>
  <si>
    <t>530926251100003813491</t>
  </si>
  <si>
    <t>村计划生育宣传员</t>
  </si>
  <si>
    <t>530926231100001415355</t>
  </si>
  <si>
    <t>计划生育信息员</t>
  </si>
  <si>
    <t>530926251100003813512</t>
  </si>
  <si>
    <t>村统战宗教干事</t>
  </si>
  <si>
    <t>530926231100001415334</t>
  </si>
  <si>
    <t>村（社区）干部住房公积金</t>
  </si>
  <si>
    <t>530926231100001415340</t>
  </si>
  <si>
    <t>村委会解聘人员</t>
  </si>
  <si>
    <t>530926231100001415342</t>
  </si>
  <si>
    <t>机关事业单位职工遗属生活补助</t>
  </si>
  <si>
    <t>30307</t>
  </si>
  <si>
    <t>医疗费补助</t>
  </si>
  <si>
    <t>530926241100002473569</t>
  </si>
  <si>
    <t>农业有毒有害保健津贴和畜牧兽医医疗卫生津贴的资金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</si>
  <si>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</si>
  <si>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</si>
  <si>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</si>
  <si>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</si>
  <si>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</si>
  <si>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</si>
  <si>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</si>
  <si>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2025年春节慰问经费</t>
  </si>
  <si>
    <t>专项业务类</t>
  </si>
  <si>
    <t>530926251100004069212</t>
  </si>
  <si>
    <t>2025年全县重大项目前期工作经费</t>
  </si>
  <si>
    <t>事业发展类</t>
  </si>
  <si>
    <t>530926251100004103773</t>
  </si>
  <si>
    <t>2025年统计工作经费</t>
  </si>
  <si>
    <t>530926251100003819368</t>
  </si>
  <si>
    <t>人才招引安家补助经费</t>
  </si>
  <si>
    <t>530926251100003832816</t>
  </si>
  <si>
    <t>四排山乡2025年文化建设工作经费</t>
  </si>
  <si>
    <t>530926251100003829953</t>
  </si>
  <si>
    <t>四排山乡党政班子以及村两委班子换届工作经费</t>
  </si>
  <si>
    <t>530926251100003825149</t>
  </si>
  <si>
    <t>四排山乡东坡村便民服务站建设项目资金</t>
  </si>
  <si>
    <t>530926251100004046739</t>
  </si>
  <si>
    <t>31005</t>
  </si>
  <si>
    <t>基础设施建设</t>
  </si>
  <si>
    <t>四排山乡建设项目资金</t>
  </si>
  <si>
    <t>530926251100003865605</t>
  </si>
  <si>
    <t>四排山乡芒翁村委会芒美自然村产业路建设、芒翁村委会芒翁自然村应急避难场所建设资金</t>
  </si>
  <si>
    <t>530926251100004046780</t>
  </si>
  <si>
    <t>四排山乡排污沟渠建设项目资金</t>
  </si>
  <si>
    <t>530926251100004045864</t>
  </si>
  <si>
    <t>四排山乡自然村提质改造项目资金</t>
  </si>
  <si>
    <t>530926251100003829932</t>
  </si>
  <si>
    <t>四排山乡综合办公室基础功能提升项目资金</t>
  </si>
  <si>
    <t>530926251100003829948</t>
  </si>
  <si>
    <t>乡镇农村人居环境整治项目资金</t>
  </si>
  <si>
    <t>530926251100003829973</t>
  </si>
  <si>
    <t>乡镇人大主席团工作经费</t>
  </si>
  <si>
    <t>530926251100003823148</t>
  </si>
  <si>
    <t>预算05-2表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</si>
  <si>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</si>
  <si>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</si>
  <si>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</si>
  <si>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</si>
  <si>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</si>
  <si>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</si>
  <si>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</si>
  <si>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</si>
  <si>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</si>
  <si>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</si>
  <si>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四排山乡东坡村便民服务站建设项目</t>
  </si>
  <si>
    <t>产出指标</t>
  </si>
  <si>
    <t>数量指标</t>
  </si>
  <si>
    <t>主体工程完成率</t>
  </si>
  <si>
    <t>&gt;=</t>
  </si>
  <si>
    <t>100</t>
  </si>
  <si>
    <t>%</t>
  </si>
  <si>
    <t>定性指标</t>
  </si>
  <si>
    <t>反映主体工程完成情况。
主体工程完成率=（按计划完成主体工程的工程量/计划完成主体工程量）*100%。</t>
  </si>
  <si>
    <t>质量指标</t>
  </si>
  <si>
    <t>竣工验收合格率</t>
  </si>
  <si>
    <t>反映项目验收情况。
竣工验收合格率=（验收合格单元工程数量/完工单元工程总数）×100%。</t>
  </si>
  <si>
    <t>时效指标</t>
  </si>
  <si>
    <t>计划完工率</t>
  </si>
  <si>
    <t>反映工程按计划完工情况。
计划完工率=实际完成工程项目个数/按计划应完成项目个数。</t>
  </si>
  <si>
    <t>效益指标</t>
  </si>
  <si>
    <t>社会效益</t>
  </si>
  <si>
    <t>受益人群覆盖率</t>
  </si>
  <si>
    <t>反映项目设计受益人群或地区的实现情况。
受益人群覆盖率=（实际实现受益人群数/计划实现受益人群数）*100%</t>
  </si>
  <si>
    <t>满意度指标</t>
  </si>
  <si>
    <t>服务对象满意度</t>
  </si>
  <si>
    <t>受益人群满意度</t>
  </si>
  <si>
    <t>调查人群中对设施建设或设施运行的满意度。
受益人群覆盖率=（调查人群中对设施建设或设施运行的人数/问卷调查人数）*100%</t>
  </si>
  <si>
    <t>按照《全国人口普查条例》相关规定，国务院决定于2025年开展全国1%人口抽样调查工作。根据《国务院办公厅关于开展
2025年全国1%人口抽样调查的通知》文件中“2025年全国1%人口抽样调查所需经费，由中央和地方各级人民政府共同负担，列入相应年度财政预算，按时拨付、确保到位，保障调查工作顺利开展”等相关要求。同时，为保障各乡镇人民政府，孟定、勐撒农场社区管委会相关统计业务顺利开展，建议将2025年统计工作经费及2025年1%人口抽样调查工作经费申报预算项目，申请纳入年度部门预算。</t>
  </si>
  <si>
    <t>完成检查报告数量</t>
  </si>
  <si>
    <t>1个</t>
  </si>
  <si>
    <t>个</t>
  </si>
  <si>
    <t>定量指标</t>
  </si>
  <si>
    <t>反映检查核查形成的报告（总结）个数。</t>
  </si>
  <si>
    <t>检查（核查）任务完成率</t>
  </si>
  <si>
    <t>反映检查工作的执行情况。
检查任务完成率=实际完成检查（核查）任务数/计划完成检查（核查）任务数*100%</t>
  </si>
  <si>
    <t>检查（核查）覆盖率</t>
  </si>
  <si>
    <t>反映检查（核查）工作覆盖面情况。
检查（核查）覆盖率=实际完成检查（核查）覆盖面/检查（核查）计划覆盖面*100%</t>
  </si>
  <si>
    <t>检查（核查）任务及时完成率</t>
  </si>
  <si>
    <t>反映是否按时完成检查核查任务。
检查任务及时完成率=及时完成检查（核查）任务数/完成检查（核查）任务数*100%</t>
  </si>
  <si>
    <t>检查（核查）结果公开率</t>
  </si>
  <si>
    <t>反映相关检查核查结果依法公开情况。
检查结果公开率</t>
  </si>
  <si>
    <t>受益对象满意度</t>
  </si>
  <si>
    <t>反映获补助受益对象的满意程度。</t>
  </si>
  <si>
    <t>四排山乡持续推进人居环境提升、绿美乡村建设，不断助力巩固脱贫攻坚成果和乡村衔接有效衔接，所以申请2025年绿美乡村建设项目</t>
  </si>
  <si>
    <t>配套设施完成率</t>
  </si>
  <si>
    <t>反映配套设施完成情况。
配套设施完成率=（按计划完成配套设施的工程量/计划完成配套设施工程量）*100%。</t>
  </si>
  <si>
    <t>计划开工率</t>
  </si>
  <si>
    <t>反映工程按计划开工情况。
项目按计划开工率=实际开工项目个数/按计划应开工项目个数×100%。</t>
  </si>
  <si>
    <t>根据《中国共产党章程》《中国共产党支部工作条例（试行）》《中国共产党基层组织选举工作条例》《中国共产党农村基层组织工作条例》《中华人民共和国村民委员会组织法》等规定，四排山乡共有43个党组织，其中党委1个，行政村党总支8个，村民小组党支部29个，机关事业支部2个，社会组织党组织1个，非公企业党组织2个，现有党员764名，全乡下辖8个行政村，36个自然村，70个村民小组，户籍总户数5171户，户籍总人口16002人，2025年12月任期届满。为顺利开展好四排山乡党政班子以及村“两委”班子换届选举工作，不断提升农村基层组织建设整体水平，巩固党在农村的执政基础，增强农村基层组织创造力、凝聚力和战斗力，真正把党组织建设成为农村稳定的坚强战斗堡垒。特向县人民政府申请将涉及四排山乡党政班子以及8个村“两委”班子换届工作经费纳入2025年财政预算给予保障。
(1)乡级换届选举工作人员骨干业务培训费用2万元;(2)乡级选举经费5万元;
(3)村级选举经费16万元(每个村2万元);
(4)换届结束后，乡级分期分批对村“两委”成员、村民小组组长、副组长、党支部书记专题培训费用2万元。
以上2025年乡、村两级换届选举经费合计25万元，请县人民政府给予纳入县财政预算。</t>
  </si>
  <si>
    <t>政策宣传次数</t>
  </si>
  <si>
    <t>20</t>
  </si>
  <si>
    <t>次</t>
  </si>
  <si>
    <t>反映补助政策的宣传力度情况。即通过门户网站、报刊、通信、电视、户外广告等对补助政策进行宣传的次数。</t>
  </si>
  <si>
    <t>根据《中国共产党章程》《中国共产党支部工作条例(试行)》《中国共产党基层组织选举工作条例》《中国共产党农村基层组织工作条例》《中华人民共和国村民委员会组织法》等规定，四排山乡共有43个党组织，其中党委1个，行政村党总支8个，村民小组党支部29个，机关事业支部2个，社会组织党组织1个，非公企业党组织2个，现有党员764名，全乡下辖8个行政村，36个自然村，70个村民小组，户籍总户数5171户，户籍总人口16002人，2025年12月任期届满。为顺利开展好四排山乡党政班子以及村“两委”班子换届选举工作，不断提升农村基层组织建设整体水平，巩固党在农村的执政基础，增强农村基层组织创造力、凝聚力和战斗力，真正把党组织建设成为农村稳定的坚强战斗堡垒。特向县人民政府申请将涉及四排山乡党政班子以及8个村“两委”班子换届工作经费纳入2025年财政预算给予保障。
(1)乡级换届选举工作人员骨干业务培训费用2万元;(2)乡级选举经费5万元;
(3)村级选举经费16万元(每个村2万元);
(4)换届结束后，乡级分期分批对村“两委”成员、村民小组组长、副组长、党支部书记专题培训费用2万元。
以上2025年乡、村两级换届选举经费合计25万元，请县人民政府给予纳入县财政预算。</t>
  </si>
  <si>
    <t>培训人员合格率</t>
  </si>
  <si>
    <t>反映预算部门（单位）组织开展各类培训的质量。
培训人员合格率=（合格的学员数量/培训总学员数量）*100%。</t>
  </si>
  <si>
    <t>参训率</t>
  </si>
  <si>
    <t>反映预算部门（单位）组织开展各类培训中预计参训情况。
参训率=（年参训人数/应参训人数）*100%。</t>
  </si>
  <si>
    <t>计划完成率</t>
  </si>
  <si>
    <t>计划完成率=在规定时间内宣传任务完成数/宣传任务计划数*100%</t>
  </si>
  <si>
    <t>宣传内容知晓率</t>
  </si>
  <si>
    <t>反映通过抽查方式完成，相关受众群体对宣传内容的知晓程度。
宣传内容知晓率=被调查对象中知晓人数/被调查对象的人数*100%
（具体应用时指标名称根据项目进行具体化，比如具体为重大事件知晓率、宣贯政策知晓率、重要政策知晓率等。）</t>
  </si>
  <si>
    <t>参训人员满意度</t>
  </si>
  <si>
    <t>反映参训人员对培训内容、讲师授课、课程设置和培训效果等的满意度。
参训人员满意度=（对培训整体满意的参训人数/参训总人数）*100%</t>
  </si>
  <si>
    <t>提升四排山乡综合办公室基础功能，购买办公设备，会议室修缮，提升公共服务能力。</t>
  </si>
  <si>
    <t>50</t>
  </si>
  <si>
    <t>获补覆盖率</t>
  </si>
  <si>
    <t>获补覆盖率=实际获得补助人数/申请符合标准人数*100%</t>
  </si>
  <si>
    <t>政策知晓率</t>
  </si>
  <si>
    <t>反映补助政策的宣传效果情况。
政策知晓率=调查中补助政策知晓人数/调查总人数*100%</t>
  </si>
  <si>
    <t>为认真贯彻落实好《临沧市人才招引三年行动计划》，给予一次性安家补助1万元</t>
  </si>
  <si>
    <t>获补对象数</t>
  </si>
  <si>
    <t>=</t>
  </si>
  <si>
    <t>1人</t>
  </si>
  <si>
    <t>人(人次、家)</t>
  </si>
  <si>
    <t>反映获补助人员、企业的数量情况，也适用补贴、资助等形式的补助。</t>
  </si>
  <si>
    <t>兑现准确率</t>
  </si>
  <si>
    <t>反映补助准确发放的情况。
补助兑现准确率=补助兑付额/应付额*100%</t>
  </si>
  <si>
    <t>发放及时率</t>
  </si>
  <si>
    <t>反映发放单位及时发放补助资金的情况。
发放及时率=在时限内发放资金/应发放资金*100%</t>
  </si>
  <si>
    <t>支付四排山乡芒翁村委会芒美自然村产业路建设、芒翁村委会芒翁自然村应急避难场所建设资金15000元</t>
  </si>
  <si>
    <t>根据四政请（2024）56号，为进一步加强资金管理，提高资金使用效益，确保2025年度各项重点文化工作任务顺利完成，申请将四排山乡2025年文化建设经费10万元纳入年度部门预算项目</t>
  </si>
  <si>
    <t>四排山乡8个自然村实施提质改造项目，预计总投资70万元。其中，建设村庄道路硬化3.8公里，共40万元；建设农村生活污水处理设施三格式污水收集处理池600立方米，每立方米0.05万元，共30万元。</t>
  </si>
  <si>
    <t>可持续影响</t>
  </si>
  <si>
    <t>使用年限</t>
  </si>
  <si>
    <t>年</t>
  </si>
  <si>
    <t>通过工程设计使用年限反映可持续的效果。</t>
  </si>
  <si>
    <t xml:space="preserve">根据耿马县财政局预算股对四排山乡2025年预算项目资金的调
整,2025年四排山乡党政班子以及村两委班子换届工作经费由原19
万元调整为3万元,剩余16万元作为四排山乡建设项目留存资金。
项目名称:四排山乡建设项目资金。
</t>
  </si>
  <si>
    <t>获补对象准确率</t>
  </si>
  <si>
    <t>反映获补助对象认定的准确性情况。
获补对象准确率=抽检符合标准的补助对象数/抽检实际补助对象数*100%</t>
  </si>
  <si>
    <t>支付四排山乡排污沟渠建设项目15000元</t>
  </si>
  <si>
    <t>乡(镇)人民代表大会是我国最基层的政权组织，是最基层的国家权力机关，是推进国家治理现代化的重要基础,也是基层群众直接参与管理国家事务和社会事务、行使当家作主权力的基本形式和主要途径。乡(镇)人大主席团是基层政权的重要组成部分，是基层民主法治建设的重要载体,是联系人民群众的桥梁和纽带,也是反映民意.化解矛盾的重要窗口。乡(镇)人大在坚持党的领导，巩固党的执政地位，贯彻落实党的路线方针政策，保证宪法、法律在本行政区域的遵守和执行，保护公民、法人的各项权利等方面具有不可替代的重要地位和职责。同时，在为老百姓办事，反映老百姓的呼声，解决老百姓的困难，促进老百姓安居乐业等方面发挥着重要作用。要从巩固党的执政基础、推进依法治国、推进国家治理体系和治理能力现代化的高度，充分认识乡(镇)人大作为基层地方国家权力机关的地位和作用，切实加强乡(镇)人大建设，提高乡(镇)人大工作水平，为促进地方经济社会发展、保障人民安居乐业作出积极贡献，为全面推进依法治国、推动人民代表大会制度与时俱进发挥作用。</t>
  </si>
  <si>
    <t>预算06表</t>
  </si>
  <si>
    <t>政府性基金预算支出预算表</t>
  </si>
  <si>
    <t>单位名称：全部</t>
  </si>
  <si>
    <t>本年政府性基金预算支出</t>
  </si>
  <si>
    <t>预算07表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</si>
  <si>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</si>
  <si>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</si>
  <si>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</si>
  <si>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</si>
  <si>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</si>
  <si>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</si>
  <si>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</si>
  <si>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</si>
  <si>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</si>
  <si>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预算08表</t>
  </si>
  <si>
    <t>政府购买服务项目</t>
  </si>
  <si>
    <t>政府购买服务目录</t>
  </si>
  <si>
    <t>政府性基金</t>
  </si>
  <si>
    <t>预算09-1表</t>
  </si>
  <si>
    <t>单位名称（项目）</t>
  </si>
  <si>
    <t>地区</t>
  </si>
  <si>
    <t>-</t>
  </si>
  <si>
    <t>预算09-2表</t>
  </si>
  <si>
    <t>预算10表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</si>
  <si>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</si>
  <si>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</si>
  <si>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</si>
  <si>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</si>
  <si>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</si>
  <si>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</si>
  <si>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</si>
  <si>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预算11表</t>
  </si>
  <si>
    <t>上级补助</t>
  </si>
  <si>
    <t>预算12表</t>
  </si>
  <si>
    <t>项目级次</t>
  </si>
  <si>
    <t>311 专项业务类</t>
  </si>
  <si>
    <t>本级</t>
  </si>
  <si>
    <t>313 事业发展类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</si>
</sst>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;@"/>
    <numFmt numFmtId="177" formatCode="hh:mm:ss"/>
    <numFmt numFmtId="178" formatCode="yyyy\-mm\-dd"/>
    <numFmt numFmtId="179" formatCode="yyyy\-mm\-dd\ hh:mm:ss"/>
    <numFmt numFmtId="180" formatCode="#,##0;\-#,##0;;@"/>
  </numFmts>
  <fonts count="48">
    <font>
      <sz val="9"/>
      <color theme="1"/>
      <name val="Microsoft YaHei UI"/>
      <charset val="134"/>
    </font>
    <font>
      <sz val="10"/>
      <color rgb="FF000000"/>
      <name val="宋体"/>
      <charset val="134"/>
    </font>
    <font>
      <sz val="22"/>
      <color rgb="FF000000"/>
      <name val="方正小标宋简体"/>
      <charset val="134"/>
    </font>
    <font>
      <b/>
      <sz val="23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11.25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1.25"/>
      <color rgb="FF000000"/>
      <name val="宋体"/>
      <charset val="134"/>
    </font>
    <font>
      <b/>
      <sz val="23"/>
      <name val="宋体"/>
      <charset val="134"/>
    </font>
    <font>
      <b/>
      <sz val="22"/>
      <color rgb="FF000000"/>
      <name val="宋体"/>
      <charset val="134"/>
    </font>
    <font>
      <sz val="11"/>
      <name val="宋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sz val="22"/>
      <name val="华文中宋"/>
      <charset val="134"/>
    </font>
    <font>
      <sz val="18"/>
      <name val="华文中宋"/>
      <charset val="134"/>
    </font>
    <font>
      <sz val="12"/>
      <name val="宋体"/>
      <charset val="134"/>
    </font>
    <font>
      <sz val="20"/>
      <color rgb="FF000000"/>
      <name val="宋体"/>
      <charset val="134"/>
    </font>
    <font>
      <b/>
      <sz val="10"/>
      <color rgb="FF000000"/>
      <name val="宋体"/>
      <charset val="134"/>
    </font>
    <font>
      <b/>
      <sz val="9"/>
      <color rgb="FF000000"/>
      <name val="宋体"/>
      <charset val="134"/>
    </font>
    <font>
      <b/>
      <sz val="9"/>
      <name val="宋体"/>
      <charset val="134"/>
    </font>
    <font>
      <sz val="10"/>
      <name val="Arial"/>
      <charset val="134"/>
    </font>
    <font>
      <sz val="28"/>
      <color rgb="FF000000"/>
      <name val="宋体"/>
      <charset val="134"/>
    </font>
    <font>
      <sz val="10"/>
      <name val="Microsoft YaHei UI"/>
      <charset val="134"/>
    </font>
    <font>
      <sz val="30"/>
      <color rgb="FF000000"/>
      <name val="宋体"/>
      <charset val="134"/>
    </font>
    <font>
      <sz val="19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top"/>
      <protection locked="0"/>
    </xf>
    <xf numFmtId="43" fontId="28" fillId="0" borderId="0" applyFont="0" applyFill="0" applyBorder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42" fontId="28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3" borderId="14" applyNumberFormat="0" applyFon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6" fillId="0" borderId="16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4" borderId="17" applyNumberFormat="0" applyAlignment="0" applyProtection="0">
      <alignment vertical="center"/>
    </xf>
    <xf numFmtId="0" fontId="38" fillId="5" borderId="18" applyNumberFormat="0" applyAlignment="0" applyProtection="0">
      <alignment vertical="center"/>
    </xf>
    <xf numFmtId="0" fontId="39" fillId="5" borderId="17" applyNumberFormat="0" applyAlignment="0" applyProtection="0">
      <alignment vertical="center"/>
    </xf>
    <xf numFmtId="0" fontId="40" fillId="6" borderId="19" applyNumberFormat="0" applyAlignment="0" applyProtection="0">
      <alignment vertical="center"/>
    </xf>
    <xf numFmtId="0" fontId="41" fillId="0" borderId="20" applyNumberFormat="0" applyFill="0" applyAlignment="0" applyProtection="0">
      <alignment vertical="center"/>
    </xf>
    <xf numFmtId="0" fontId="42" fillId="0" borderId="21" applyNumberFormat="0" applyFill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46" fillId="30" borderId="0" applyNumberFormat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47" fillId="32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176" fontId="7" fillId="0" borderId="7">
      <alignment horizontal="right" vertical="center"/>
    </xf>
    <xf numFmtId="49" fontId="7" fillId="0" borderId="7">
      <alignment horizontal="left" vertical="center" wrapText="1"/>
    </xf>
    <xf numFmtId="176" fontId="7" fillId="0" borderId="7">
      <alignment horizontal="right" vertical="center"/>
    </xf>
    <xf numFmtId="177" fontId="7" fillId="0" borderId="7">
      <alignment horizontal="right" vertical="center"/>
    </xf>
    <xf numFmtId="178" fontId="7" fillId="0" borderId="7">
      <alignment horizontal="right" vertical="center"/>
    </xf>
    <xf numFmtId="179" fontId="7" fillId="0" borderId="7">
      <alignment horizontal="right" vertical="center"/>
    </xf>
    <xf numFmtId="10" fontId="7" fillId="0" borderId="7">
      <alignment horizontal="right" vertical="center"/>
    </xf>
    <xf numFmtId="180" fontId="7" fillId="0" borderId="7">
      <alignment horizontal="right" vertical="center"/>
    </xf>
  </cellStyleXfs>
  <cellXfs count="224">
    <xf numFmtId="0" fontId="0" fillId="0" borderId="0" xfId="0" applyBorder="1">
      <alignment vertical="top"/>
      <protection locked="0"/>
    </xf>
    <xf numFmtId="49" fontId="1" fillId="0" borderId="0" xfId="0" applyNumberFormat="1" applyFont="1" applyAlignment="1" applyProtection="1"/>
    <xf numFmtId="0" fontId="1" fillId="0" borderId="0" xfId="0" applyFont="1" applyAlignment="1" applyProtection="1"/>
    <xf numFmtId="0" fontId="1" fillId="0" borderId="0" xfId="0" applyFont="1" applyAlignment="1">
      <alignment horizontal="right" vertical="center"/>
      <protection locked="0"/>
    </xf>
    <xf numFmtId="0" fontId="2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0" fontId="4" fillId="0" borderId="0" xfId="0" applyFont="1" applyAlignment="1">
      <alignment horizontal="left" vertical="center"/>
      <protection locked="0"/>
    </xf>
    <xf numFmtId="0" fontId="5" fillId="0" borderId="0" xfId="0" applyFont="1" applyAlignment="1" applyProtection="1">
      <alignment horizontal="left" vertical="center"/>
    </xf>
    <xf numFmtId="0" fontId="5" fillId="0" borderId="0" xfId="0" applyFont="1" applyAlignment="1" applyProtection="1"/>
    <xf numFmtId="0" fontId="5" fillId="0" borderId="1" xfId="0" applyFont="1" applyBorder="1" applyAlignment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center" vertical="center"/>
    </xf>
    <xf numFmtId="0" fontId="5" fillId="0" borderId="3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5" xfId="0" applyFont="1" applyBorder="1" applyAlignment="1">
      <alignment horizontal="center" vertical="center" wrapText="1"/>
      <protection locked="0"/>
    </xf>
    <xf numFmtId="0" fontId="5" fillId="0" borderId="5" xfId="0" applyFont="1" applyBorder="1" applyAlignment="1" applyProtection="1">
      <alignment horizontal="center" vertical="center" wrapText="1"/>
    </xf>
    <xf numFmtId="0" fontId="5" fillId="0" borderId="6" xfId="0" applyFont="1" applyBorder="1" applyAlignment="1">
      <alignment horizontal="center" vertical="center" wrapText="1"/>
      <protection locked="0"/>
    </xf>
    <xf numFmtId="0" fontId="5" fillId="0" borderId="6" xfId="0" applyFont="1" applyBorder="1" applyAlignment="1" applyProtection="1">
      <alignment horizontal="center" vertical="center" wrapText="1"/>
    </xf>
    <xf numFmtId="0" fontId="6" fillId="0" borderId="7" xfId="0" applyFont="1" applyBorder="1" applyAlignment="1" applyProtection="1">
      <alignment horizontal="center" vertical="center"/>
    </xf>
    <xf numFmtId="0" fontId="6" fillId="0" borderId="7" xfId="0" applyFont="1" applyBorder="1" applyAlignment="1">
      <alignment horizontal="center" vertical="center"/>
      <protection locked="0"/>
    </xf>
    <xf numFmtId="0" fontId="7" fillId="0" borderId="7" xfId="0" applyFont="1" applyBorder="1" applyAlignment="1">
      <alignment horizontal="left" vertical="center" wrapText="1"/>
      <protection locked="0"/>
    </xf>
    <xf numFmtId="0" fontId="7" fillId="0" borderId="7" xfId="0" applyFont="1" applyBorder="1" applyAlignment="1">
      <alignment horizontal="left" vertical="center"/>
      <protection locked="0"/>
    </xf>
    <xf numFmtId="0" fontId="7" fillId="0" borderId="7" xfId="0" applyFont="1" applyBorder="1" applyAlignment="1">
      <alignment horizontal="center" vertical="center" wrapText="1"/>
      <protection locked="0"/>
    </xf>
    <xf numFmtId="176" fontId="7" fillId="0" borderId="7" xfId="51" applyProtection="1">
      <alignment horizontal="right" vertical="center"/>
      <protection locked="0"/>
    </xf>
    <xf numFmtId="0" fontId="7" fillId="0" borderId="7" xfId="0" applyFont="1" applyBorder="1" applyAlignment="1">
      <alignment horizontal="left" vertical="center" wrapText="1" indent="1"/>
      <protection locked="0"/>
    </xf>
    <xf numFmtId="49" fontId="7" fillId="0" borderId="7" xfId="50" applyProtection="1">
      <alignment horizontal="left" vertical="center" wrapText="1"/>
      <protection locked="0"/>
    </xf>
    <xf numFmtId="0" fontId="8" fillId="0" borderId="7" xfId="0" applyFont="1" applyBorder="1" applyAlignment="1" applyProtection="1">
      <alignment horizontal="center"/>
    </xf>
    <xf numFmtId="0" fontId="5" fillId="0" borderId="1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center" vertical="center"/>
    </xf>
    <xf numFmtId="0" fontId="7" fillId="0" borderId="7" xfId="0" applyFont="1" applyBorder="1" applyAlignment="1" applyProtection="1">
      <alignment horizontal="left" vertical="center" wrapText="1"/>
    </xf>
    <xf numFmtId="176" fontId="7" fillId="0" borderId="7" xfId="0" applyNumberFormat="1" applyFont="1" applyBorder="1" applyAlignment="1">
      <alignment horizontal="right" vertical="center"/>
      <protection locked="0"/>
    </xf>
    <xf numFmtId="0" fontId="7" fillId="0" borderId="7" xfId="0" applyFont="1" applyBorder="1" applyAlignment="1">
      <alignment horizontal="center" vertical="center"/>
      <protection locked="0"/>
    </xf>
    <xf numFmtId="0" fontId="4" fillId="0" borderId="0" xfId="0" applyFont="1" applyAlignment="1">
      <alignment horizontal="right" vertical="center"/>
      <protection locked="0"/>
    </xf>
    <xf numFmtId="0" fontId="4" fillId="0" borderId="0" xfId="0" applyFont="1" applyAlignment="1" applyProtection="1">
      <alignment horizontal="right" vertical="center"/>
    </xf>
    <xf numFmtId="0" fontId="2" fillId="0" borderId="0" xfId="0" applyFont="1" applyAlignment="1" applyProtection="1">
      <alignment horizontal="center" vertical="center" wrapText="1"/>
    </xf>
    <xf numFmtId="0" fontId="4" fillId="0" borderId="0" xfId="0" applyFont="1" applyAlignment="1" applyProtection="1">
      <alignment horizontal="left" vertical="center"/>
    </xf>
    <xf numFmtId="0" fontId="1" fillId="0" borderId="0" xfId="0" applyFont="1" applyAlignment="1" applyProtection="1">
      <alignment vertical="center"/>
    </xf>
    <xf numFmtId="0" fontId="8" fillId="0" borderId="0" xfId="0" applyFont="1" applyAlignment="1" applyProtection="1">
      <alignment horizontal="right" vertical="center" wrapText="1"/>
    </xf>
    <xf numFmtId="0" fontId="5" fillId="0" borderId="2" xfId="0" applyFont="1" applyBorder="1" applyAlignment="1" applyProtection="1">
      <alignment horizontal="center" vertical="center" wrapText="1"/>
    </xf>
    <xf numFmtId="0" fontId="5" fillId="0" borderId="3" xfId="0" applyFont="1" applyBorder="1" applyAlignment="1" applyProtection="1">
      <alignment horizontal="center" vertical="center" wrapText="1"/>
    </xf>
    <xf numFmtId="0" fontId="5" fillId="0" borderId="4" xfId="0" applyFont="1" applyBorder="1" applyAlignment="1" applyProtection="1">
      <alignment horizontal="center" vertical="center" wrapText="1"/>
    </xf>
    <xf numFmtId="0" fontId="5" fillId="0" borderId="7" xfId="0" applyFont="1" applyBorder="1" applyAlignment="1" applyProtection="1">
      <alignment horizontal="center" vertical="center" wrapText="1"/>
    </xf>
    <xf numFmtId="0" fontId="9" fillId="0" borderId="7" xfId="0" applyFont="1" applyBorder="1" applyAlignment="1" applyProtection="1">
      <alignment horizontal="center" vertical="center" wrapText="1"/>
    </xf>
    <xf numFmtId="0" fontId="6" fillId="0" borderId="0" xfId="0" applyFont="1" applyAlignment="1">
      <alignment horizontal="center" vertical="center"/>
      <protection locked="0"/>
    </xf>
    <xf numFmtId="0" fontId="4" fillId="0" borderId="7" xfId="0" applyFont="1" applyBorder="1" applyAlignment="1" applyProtection="1">
      <alignment vertical="center" wrapText="1"/>
    </xf>
    <xf numFmtId="0" fontId="4" fillId="0" borderId="7" xfId="0" applyFont="1" applyBorder="1" applyAlignment="1" applyProtection="1">
      <alignment horizontal="right" vertical="center" wrapText="1"/>
    </xf>
    <xf numFmtId="0" fontId="4" fillId="0" borderId="7" xfId="0" applyFont="1" applyBorder="1" applyAlignment="1" applyProtection="1">
      <alignment horizontal="center" vertical="center" wrapText="1"/>
    </xf>
    <xf numFmtId="0" fontId="8" fillId="0" borderId="7" xfId="0" applyFont="1" applyBorder="1" applyAlignment="1" applyProtection="1">
      <alignment horizontal="center" vertical="center"/>
    </xf>
    <xf numFmtId="0" fontId="10" fillId="0" borderId="0" xfId="0" applyFont="1" applyAlignment="1">
      <alignment horizontal="center" vertical="center"/>
      <protection locked="0"/>
    </xf>
    <xf numFmtId="0" fontId="7" fillId="0" borderId="0" xfId="0" applyFont="1" applyAlignment="1">
      <alignment horizontal="left" vertical="center"/>
      <protection locked="0"/>
    </xf>
    <xf numFmtId="0" fontId="8" fillId="0" borderId="0" xfId="0" applyFont="1" applyAlignment="1" applyProtection="1">
      <alignment vertical="center"/>
    </xf>
    <xf numFmtId="0" fontId="7" fillId="0" borderId="0" xfId="0" applyFont="1">
      <alignment vertical="top"/>
      <protection locked="0"/>
    </xf>
    <xf numFmtId="0" fontId="5" fillId="0" borderId="7" xfId="0" applyFont="1" applyBorder="1" applyAlignment="1">
      <alignment horizontal="center" vertical="center"/>
      <protection locked="0"/>
    </xf>
    <xf numFmtId="0" fontId="1" fillId="0" borderId="0" xfId="0" applyFont="1" applyAlignment="1" applyProtection="1">
      <alignment horizontal="right" vertical="center"/>
    </xf>
    <xf numFmtId="0" fontId="11" fillId="0" borderId="0" xfId="0" applyFont="1" applyAlignment="1" applyProtection="1">
      <alignment horizontal="center" vertical="center" wrapText="1"/>
    </xf>
    <xf numFmtId="0" fontId="4" fillId="0" borderId="0" xfId="0" applyFont="1" applyAlignment="1" applyProtection="1">
      <alignment horizontal="left" vertical="center" wrapText="1"/>
    </xf>
    <xf numFmtId="0" fontId="5" fillId="0" borderId="0" xfId="0" applyFont="1" applyAlignment="1" applyProtection="1">
      <alignment wrapText="1"/>
    </xf>
    <xf numFmtId="0" fontId="1" fillId="0" borderId="0" xfId="0" applyFont="1" applyAlignment="1" applyProtection="1">
      <alignment horizontal="right" wrapText="1"/>
    </xf>
    <xf numFmtId="0" fontId="8" fillId="0" borderId="0" xfId="0" applyFont="1" applyAlignment="1" applyProtection="1">
      <alignment wrapText="1"/>
    </xf>
    <xf numFmtId="0" fontId="5" fillId="0" borderId="8" xfId="0" applyFont="1" applyBorder="1" applyAlignment="1" applyProtection="1">
      <alignment horizontal="center" vertical="center" wrapText="1"/>
    </xf>
    <xf numFmtId="0" fontId="12" fillId="0" borderId="7" xfId="0" applyFont="1" applyBorder="1" applyAlignment="1" applyProtection="1">
      <alignment horizontal="center" vertical="center"/>
    </xf>
    <xf numFmtId="0" fontId="12" fillId="0" borderId="7" xfId="0" applyFont="1" applyBorder="1" applyAlignment="1">
      <alignment horizontal="center" vertical="center"/>
      <protection locked="0"/>
    </xf>
    <xf numFmtId="0" fontId="12" fillId="0" borderId="2" xfId="0" applyFont="1" applyBorder="1" applyAlignment="1" applyProtection="1">
      <alignment horizontal="center" vertical="center"/>
    </xf>
    <xf numFmtId="0" fontId="1" fillId="0" borderId="0" xfId="0" applyFont="1" applyAlignment="1" applyProtection="1">
      <alignment wrapText="1"/>
    </xf>
    <xf numFmtId="0" fontId="1" fillId="0" borderId="0" xfId="0" applyFont="1" applyAlignment="1">
      <protection locked="0"/>
    </xf>
    <xf numFmtId="0" fontId="7" fillId="0" borderId="0" xfId="0" applyFont="1" applyAlignment="1">
      <alignment vertical="top" wrapText="1"/>
      <protection locked="0"/>
    </xf>
    <xf numFmtId="0" fontId="3" fillId="0" borderId="0" xfId="0" applyFont="1" applyAlignment="1" applyProtection="1">
      <alignment horizontal="center" vertical="center" wrapText="1"/>
    </xf>
    <xf numFmtId="0" fontId="3" fillId="0" borderId="0" xfId="0" applyFont="1" applyAlignment="1">
      <alignment horizontal="center" vertical="center"/>
      <protection locked="0"/>
    </xf>
    <xf numFmtId="0" fontId="3" fillId="0" borderId="0" xfId="0" applyFont="1" applyAlignment="1">
      <alignment horizontal="center" vertical="center" wrapText="1"/>
      <protection locked="0"/>
    </xf>
    <xf numFmtId="0" fontId="5" fillId="0" borderId="0" xfId="0" applyFont="1" applyAlignment="1">
      <protection locked="0"/>
    </xf>
    <xf numFmtId="0" fontId="5" fillId="0" borderId="9" xfId="0" applyFont="1" applyBorder="1" applyAlignment="1" applyProtection="1">
      <alignment horizontal="center" vertical="center" wrapText="1"/>
    </xf>
    <xf numFmtId="0" fontId="5" fillId="0" borderId="9" xfId="0" applyFont="1" applyBorder="1" applyAlignment="1">
      <alignment horizontal="center" vertical="center" wrapText="1"/>
      <protection locked="0"/>
    </xf>
    <xf numFmtId="0" fontId="5" fillId="0" borderId="3" xfId="0" applyFont="1" applyBorder="1" applyAlignment="1">
      <alignment horizontal="center" vertical="center" wrapText="1"/>
      <protection locked="0"/>
    </xf>
    <xf numFmtId="0" fontId="5" fillId="0" borderId="10" xfId="0" applyFont="1" applyBorder="1" applyAlignment="1" applyProtection="1">
      <alignment horizontal="center" vertical="center" wrapText="1"/>
    </xf>
    <xf numFmtId="0" fontId="5" fillId="0" borderId="10" xfId="0" applyFont="1" applyBorder="1" applyAlignment="1">
      <alignment horizontal="center" vertical="center" wrapText="1"/>
      <protection locked="0"/>
    </xf>
    <xf numFmtId="0" fontId="5" fillId="0" borderId="11" xfId="0" applyFont="1" applyBorder="1" applyAlignment="1" applyProtection="1">
      <alignment horizontal="center" vertical="center" wrapText="1"/>
    </xf>
    <xf numFmtId="0" fontId="5" fillId="0" borderId="11" xfId="0" applyFont="1" applyBorder="1" applyAlignment="1">
      <alignment horizontal="center" vertical="center" wrapText="1"/>
      <protection locked="0"/>
    </xf>
    <xf numFmtId="3" fontId="5" fillId="0" borderId="6" xfId="0" applyNumberFormat="1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left" vertical="center" wrapText="1"/>
    </xf>
    <xf numFmtId="0" fontId="4" fillId="0" borderId="11" xfId="0" applyFont="1" applyBorder="1" applyAlignment="1" applyProtection="1">
      <alignment horizontal="left" vertical="center" wrapText="1"/>
    </xf>
    <xf numFmtId="0" fontId="4" fillId="0" borderId="11" xfId="0" applyFont="1" applyBorder="1" applyAlignment="1">
      <alignment horizontal="left" vertical="center" wrapText="1"/>
      <protection locked="0"/>
    </xf>
    <xf numFmtId="0" fontId="4" fillId="0" borderId="6" xfId="0" applyFont="1" applyBorder="1" applyAlignment="1" applyProtection="1">
      <alignment horizontal="center" vertical="center" wrapText="1"/>
    </xf>
    <xf numFmtId="0" fontId="7" fillId="0" borderId="7" xfId="0" applyFont="1" applyBorder="1" applyAlignment="1">
      <alignment horizontal="center" vertical="top"/>
      <protection locked="0"/>
    </xf>
    <xf numFmtId="0" fontId="4" fillId="0" borderId="0" xfId="0" applyFont="1" applyAlignment="1">
      <alignment horizontal="right" vertical="center" wrapText="1"/>
      <protection locked="0"/>
    </xf>
    <xf numFmtId="0" fontId="4" fillId="0" borderId="0" xfId="0" applyFont="1" applyAlignment="1" applyProtection="1">
      <alignment horizontal="right" vertical="center" wrapText="1"/>
    </xf>
    <xf numFmtId="0" fontId="4" fillId="0" borderId="0" xfId="0" applyFont="1" applyAlignment="1">
      <alignment horizontal="right"/>
      <protection locked="0"/>
    </xf>
    <xf numFmtId="0" fontId="4" fillId="0" borderId="0" xfId="0" applyFont="1" applyAlignment="1">
      <alignment horizontal="right" wrapText="1"/>
      <protection locked="0"/>
    </xf>
    <xf numFmtId="0" fontId="5" fillId="0" borderId="3" xfId="0" applyFont="1" applyBorder="1" applyAlignment="1">
      <alignment horizontal="center" vertical="center"/>
      <protection locked="0"/>
    </xf>
    <xf numFmtId="0" fontId="5" fillId="0" borderId="12" xfId="0" applyFont="1" applyBorder="1" applyAlignment="1" applyProtection="1">
      <alignment horizontal="center" vertical="center" wrapText="1"/>
    </xf>
    <xf numFmtId="0" fontId="5" fillId="0" borderId="12" xfId="0" applyFont="1" applyBorder="1" applyAlignment="1">
      <alignment horizontal="center" vertical="center"/>
      <protection locked="0"/>
    </xf>
    <xf numFmtId="0" fontId="5" fillId="0" borderId="12" xfId="0" applyFont="1" applyBorder="1" applyAlignment="1">
      <alignment horizontal="center" vertical="center" wrapText="1"/>
      <protection locked="0"/>
    </xf>
    <xf numFmtId="0" fontId="5" fillId="0" borderId="7" xfId="0" applyFont="1" applyBorder="1" applyAlignment="1">
      <alignment horizontal="center" vertical="center" wrapText="1"/>
      <protection locked="0"/>
    </xf>
    <xf numFmtId="0" fontId="5" fillId="0" borderId="11" xfId="0" applyFont="1" applyBorder="1" applyAlignment="1" applyProtection="1">
      <alignment horizontal="center" vertical="center"/>
    </xf>
    <xf numFmtId="0" fontId="4" fillId="0" borderId="11" xfId="0" applyFont="1" applyBorder="1" applyAlignment="1" applyProtection="1">
      <alignment horizontal="right" vertical="center"/>
    </xf>
    <xf numFmtId="4" fontId="4" fillId="0" borderId="11" xfId="0" applyNumberFormat="1" applyFont="1" applyBorder="1" applyAlignment="1">
      <alignment horizontal="right" vertical="center"/>
      <protection locked="0"/>
    </xf>
    <xf numFmtId="0" fontId="12" fillId="0" borderId="10" xfId="0" applyFont="1" applyBorder="1" applyAlignment="1">
      <alignment horizontal="center" vertical="center" wrapText="1"/>
      <protection locked="0"/>
    </xf>
    <xf numFmtId="0" fontId="12" fillId="0" borderId="12" xfId="0" applyFont="1" applyBorder="1" applyAlignment="1">
      <alignment horizontal="center" vertical="center"/>
      <protection locked="0"/>
    </xf>
    <xf numFmtId="0" fontId="12" fillId="0" borderId="12" xfId="0" applyFont="1" applyBorder="1" applyAlignment="1">
      <alignment horizontal="center" vertical="center" wrapText="1"/>
      <protection locked="0"/>
    </xf>
    <xf numFmtId="4" fontId="4" fillId="0" borderId="7" xfId="0" applyNumberFormat="1" applyFont="1" applyBorder="1" applyAlignment="1">
      <alignment horizontal="right" vertical="center"/>
      <protection locked="0"/>
    </xf>
    <xf numFmtId="0" fontId="13" fillId="0" borderId="0" xfId="0" applyFont="1" applyAlignment="1">
      <alignment horizontal="right"/>
      <protection locked="0"/>
    </xf>
    <xf numFmtId="49" fontId="13" fillId="0" borderId="0" xfId="0" applyNumberFormat="1" applyFont="1" applyAlignment="1">
      <protection locked="0"/>
    </xf>
    <xf numFmtId="0" fontId="1" fillId="0" borderId="0" xfId="0" applyFont="1" applyAlignment="1" applyProtection="1">
      <alignment horizontal="right"/>
    </xf>
    <xf numFmtId="0" fontId="2" fillId="0" borderId="0" xfId="0" applyFont="1" applyAlignment="1">
      <alignment horizontal="center" vertical="center" wrapText="1"/>
      <protection locked="0"/>
    </xf>
    <xf numFmtId="0" fontId="14" fillId="0" borderId="0" xfId="0" applyFont="1" applyAlignment="1">
      <alignment horizontal="center" vertical="center" wrapText="1"/>
      <protection locked="0"/>
    </xf>
    <xf numFmtId="0" fontId="14" fillId="0" borderId="0" xfId="0" applyFont="1" applyAlignment="1">
      <alignment horizontal="center" vertical="center"/>
      <protection locked="0"/>
    </xf>
    <xf numFmtId="0" fontId="14" fillId="0" borderId="0" xfId="0" applyFont="1" applyAlignment="1" applyProtection="1">
      <alignment horizontal="center" vertical="center"/>
    </xf>
    <xf numFmtId="0" fontId="5" fillId="0" borderId="1" xfId="0" applyFont="1" applyBorder="1" applyAlignment="1">
      <alignment horizontal="center" vertical="center"/>
      <protection locked="0"/>
    </xf>
    <xf numFmtId="49" fontId="5" fillId="0" borderId="9" xfId="0" applyNumberFormat="1" applyFont="1" applyBorder="1" applyAlignment="1">
      <alignment horizontal="center" vertical="center" wrapText="1"/>
      <protection locked="0"/>
    </xf>
    <xf numFmtId="0" fontId="5" fillId="0" borderId="9" xfId="0" applyFont="1" applyBorder="1" applyAlignment="1">
      <alignment horizontal="center" vertical="center"/>
      <protection locked="0"/>
    </xf>
    <xf numFmtId="0" fontId="5" fillId="0" borderId="6" xfId="0" applyFont="1" applyBorder="1" applyAlignment="1">
      <alignment horizontal="center" vertical="center"/>
      <protection locked="0"/>
    </xf>
    <xf numFmtId="49" fontId="5" fillId="0" borderId="11" xfId="0" applyNumberFormat="1" applyFont="1" applyBorder="1" applyAlignment="1">
      <alignment horizontal="center" vertical="center" wrapText="1"/>
      <protection locked="0"/>
    </xf>
    <xf numFmtId="0" fontId="5" fillId="0" borderId="11" xfId="0" applyFont="1" applyBorder="1" applyAlignment="1">
      <alignment horizontal="center" vertical="center"/>
      <protection locked="0"/>
    </xf>
    <xf numFmtId="0" fontId="9" fillId="0" borderId="6" xfId="0" applyFont="1" applyBorder="1" applyAlignment="1">
      <alignment horizontal="center" vertical="center"/>
      <protection locked="0"/>
    </xf>
    <xf numFmtId="49" fontId="9" fillId="0" borderId="11" xfId="0" applyNumberFormat="1" applyFont="1" applyBorder="1" applyAlignment="1">
      <alignment horizontal="center" vertical="center"/>
      <protection locked="0"/>
    </xf>
    <xf numFmtId="0" fontId="9" fillId="0" borderId="11" xfId="0" applyFont="1" applyBorder="1" applyAlignment="1">
      <alignment horizontal="center" vertical="center"/>
      <protection locked="0"/>
    </xf>
    <xf numFmtId="0" fontId="9" fillId="0" borderId="11" xfId="0" applyFont="1" applyBorder="1" applyAlignment="1" applyProtection="1">
      <alignment horizontal="center" vertical="center"/>
    </xf>
    <xf numFmtId="0" fontId="4" fillId="0" borderId="6" xfId="0" applyFont="1" applyBorder="1" applyAlignment="1">
      <alignment horizontal="left" vertical="center" wrapText="1"/>
      <protection locked="0"/>
    </xf>
    <xf numFmtId="0" fontId="4" fillId="0" borderId="6" xfId="0" applyFont="1" applyBorder="1" applyAlignment="1">
      <alignment horizontal="center" vertical="center" wrapText="1"/>
      <protection locked="0"/>
    </xf>
    <xf numFmtId="49" fontId="8" fillId="0" borderId="7" xfId="0" applyNumberFormat="1" applyFont="1" applyBorder="1" applyAlignment="1" applyProtection="1">
      <alignment horizontal="center"/>
    </xf>
    <xf numFmtId="3" fontId="9" fillId="0" borderId="7" xfId="0" applyNumberFormat="1" applyFont="1" applyBorder="1" applyAlignment="1" applyProtection="1">
      <alignment horizontal="center" vertical="center"/>
    </xf>
    <xf numFmtId="0" fontId="4" fillId="0" borderId="7" xfId="0" applyFont="1" applyBorder="1" applyAlignment="1" applyProtection="1">
      <alignment horizontal="left" vertical="center" wrapText="1"/>
    </xf>
    <xf numFmtId="0" fontId="4" fillId="0" borderId="7" xfId="0" applyFont="1" applyBorder="1" applyAlignment="1">
      <alignment horizontal="center" vertical="center"/>
      <protection locked="0"/>
    </xf>
    <xf numFmtId="0" fontId="4" fillId="0" borderId="7" xfId="0" applyFont="1" applyBorder="1" applyAlignment="1" applyProtection="1">
      <alignment horizontal="left" vertical="center" wrapText="1" indent="1"/>
    </xf>
    <xf numFmtId="0" fontId="4" fillId="0" borderId="7" xfId="0" applyFont="1" applyBorder="1" applyAlignment="1">
      <alignment horizontal="left" vertical="center" wrapText="1"/>
      <protection locked="0"/>
    </xf>
    <xf numFmtId="0" fontId="8" fillId="0" borderId="0" xfId="0" applyFont="1" applyProtection="1">
      <alignment vertical="top"/>
    </xf>
    <xf numFmtId="3" fontId="6" fillId="0" borderId="7" xfId="0" applyNumberFormat="1" applyFont="1" applyBorder="1" applyAlignment="1" applyProtection="1">
      <alignment horizontal="center" vertical="center"/>
    </xf>
    <xf numFmtId="0" fontId="7" fillId="0" borderId="7" xfId="0" applyFont="1" applyBorder="1" applyAlignment="1" applyProtection="1">
      <alignment horizontal="center" vertical="center" wrapText="1"/>
    </xf>
    <xf numFmtId="0" fontId="5" fillId="0" borderId="8" xfId="0" applyFont="1" applyBorder="1" applyAlignment="1" applyProtection="1">
      <alignment horizontal="center" vertical="center"/>
    </xf>
    <xf numFmtId="0" fontId="5" fillId="0" borderId="9" xfId="0" applyFont="1" applyBorder="1" applyAlignment="1" applyProtection="1">
      <alignment horizontal="center" vertical="center"/>
    </xf>
    <xf numFmtId="0" fontId="5" fillId="0" borderId="13" xfId="0" applyFont="1" applyBorder="1" applyAlignment="1">
      <alignment horizontal="center" vertical="center" wrapText="1"/>
      <protection locked="0"/>
    </xf>
    <xf numFmtId="0" fontId="5" fillId="0" borderId="5" xfId="0" applyFont="1" applyBorder="1" applyAlignment="1">
      <alignment horizontal="center" vertical="center"/>
      <protection locked="0"/>
    </xf>
    <xf numFmtId="0" fontId="8" fillId="0" borderId="0" xfId="0" applyFont="1">
      <alignment vertical="top"/>
      <protection locked="0"/>
    </xf>
    <xf numFmtId="49" fontId="1" fillId="0" borderId="0" xfId="0" applyNumberFormat="1" applyFont="1" applyAlignment="1">
      <protection locked="0"/>
    </xf>
    <xf numFmtId="0" fontId="2" fillId="0" borderId="0" xfId="0" applyFont="1" applyAlignment="1">
      <alignment horizontal="center" vertical="center"/>
      <protection locked="0"/>
    </xf>
    <xf numFmtId="0" fontId="5" fillId="0" borderId="0" xfId="0" applyFont="1" applyAlignment="1">
      <alignment horizontal="left" vertical="center"/>
      <protection locked="0"/>
    </xf>
    <xf numFmtId="0" fontId="5" fillId="0" borderId="2" xfId="0" applyFont="1" applyBorder="1" applyAlignment="1">
      <alignment horizontal="center" vertical="center"/>
      <protection locked="0"/>
    </xf>
    <xf numFmtId="3" fontId="6" fillId="0" borderId="7" xfId="0" applyNumberFormat="1" applyFont="1" applyBorder="1" applyAlignment="1">
      <alignment horizontal="center" vertical="center"/>
      <protection locked="0"/>
    </xf>
    <xf numFmtId="0" fontId="7" fillId="0" borderId="7" xfId="0" applyFont="1" applyBorder="1" applyAlignment="1" applyProtection="1">
      <alignment horizontal="left" vertical="center"/>
    </xf>
    <xf numFmtId="0" fontId="7" fillId="0" borderId="7" xfId="0" applyFont="1" applyBorder="1" applyAlignment="1" applyProtection="1">
      <alignment horizontal="left" vertical="center" indent="1"/>
    </xf>
    <xf numFmtId="0" fontId="5" fillId="0" borderId="4" xfId="0" applyFont="1" applyBorder="1" applyAlignment="1">
      <alignment horizontal="center" vertical="center"/>
      <protection locked="0"/>
    </xf>
    <xf numFmtId="0" fontId="5" fillId="0" borderId="2" xfId="0" applyFont="1" applyBorder="1" applyAlignment="1">
      <alignment horizontal="center" vertical="center" wrapText="1"/>
      <protection locked="0"/>
    </xf>
    <xf numFmtId="0" fontId="5" fillId="0" borderId="4" xfId="0" applyFont="1" applyBorder="1" applyAlignment="1">
      <alignment horizontal="center" vertical="center" wrapText="1"/>
      <protection locked="0"/>
    </xf>
    <xf numFmtId="0" fontId="8" fillId="0" borderId="0" xfId="0" applyFont="1" applyAlignment="1" applyProtection="1">
      <alignment horizontal="center"/>
    </xf>
    <xf numFmtId="0" fontId="8" fillId="0" borderId="0" xfId="0" applyFont="1" applyAlignment="1" applyProtection="1">
      <alignment horizontal="center" wrapText="1"/>
    </xf>
    <xf numFmtId="0" fontId="15" fillId="0" borderId="0" xfId="0" applyFont="1" applyAlignment="1" applyProtection="1">
      <alignment horizontal="center" vertical="center"/>
    </xf>
    <xf numFmtId="0" fontId="16" fillId="0" borderId="0" xfId="0" applyFont="1" applyAlignment="1" applyProtection="1">
      <alignment horizontal="center" vertical="center"/>
    </xf>
    <xf numFmtId="0" fontId="16" fillId="0" borderId="0" xfId="0" applyFont="1" applyAlignment="1" applyProtection="1">
      <alignment horizontal="center" vertical="center" wrapText="1"/>
    </xf>
    <xf numFmtId="0" fontId="7" fillId="0" borderId="0" xfId="0" applyFont="1" applyAlignment="1" applyProtection="1">
      <alignment horizontal="left" vertical="center"/>
    </xf>
    <xf numFmtId="0" fontId="8" fillId="0" borderId="0" xfId="0" applyFont="1" applyAlignment="1" applyProtection="1"/>
    <xf numFmtId="0" fontId="12" fillId="0" borderId="1" xfId="0" applyFont="1" applyBorder="1" applyAlignment="1">
      <alignment horizontal="center" vertical="center" wrapText="1"/>
      <protection locked="0"/>
    </xf>
    <xf numFmtId="0" fontId="12" fillId="0" borderId="4" xfId="0" applyFont="1" applyBorder="1" applyAlignment="1" applyProtection="1">
      <alignment horizontal="center" vertical="center"/>
    </xf>
    <xf numFmtId="0" fontId="12" fillId="0" borderId="3" xfId="0" applyFont="1" applyBorder="1" applyAlignment="1" applyProtection="1">
      <alignment horizontal="center" vertical="center"/>
    </xf>
    <xf numFmtId="0" fontId="12" fillId="0" borderId="5" xfId="0" applyFont="1" applyBorder="1" applyAlignment="1">
      <alignment horizontal="center" vertical="center" wrapText="1"/>
      <protection locked="0"/>
    </xf>
    <xf numFmtId="0" fontId="12" fillId="0" borderId="5" xfId="0" applyFont="1" applyBorder="1" applyAlignment="1" applyProtection="1">
      <alignment horizontal="center" vertical="center"/>
    </xf>
    <xf numFmtId="0" fontId="12" fillId="0" borderId="1" xfId="0" applyFont="1" applyBorder="1" applyAlignment="1" applyProtection="1">
      <alignment horizontal="center" vertical="center"/>
    </xf>
    <xf numFmtId="0" fontId="17" fillId="0" borderId="6" xfId="0" applyFont="1" applyBorder="1" applyAlignment="1" applyProtection="1">
      <alignment horizontal="center" vertical="center"/>
    </xf>
    <xf numFmtId="0" fontId="17" fillId="0" borderId="6" xfId="0" applyFont="1" applyBorder="1" applyAlignment="1" applyProtection="1">
      <alignment horizontal="center" vertical="center" wrapText="1"/>
    </xf>
    <xf numFmtId="0" fontId="17" fillId="0" borderId="2" xfId="0" applyFont="1" applyBorder="1" applyAlignment="1" applyProtection="1">
      <alignment horizontal="center" vertical="center" wrapText="1"/>
    </xf>
    <xf numFmtId="0" fontId="17" fillId="0" borderId="2" xfId="0" applyFont="1" applyBorder="1" applyAlignment="1" applyProtection="1">
      <alignment horizontal="center" vertical="center"/>
    </xf>
    <xf numFmtId="0" fontId="17" fillId="0" borderId="2" xfId="0" applyFont="1" applyBorder="1" applyAlignment="1">
      <alignment horizontal="center" vertical="center"/>
      <protection locked="0"/>
    </xf>
    <xf numFmtId="0" fontId="6" fillId="0" borderId="2" xfId="0" applyFont="1" applyBorder="1" applyAlignment="1" applyProtection="1">
      <alignment horizontal="center" vertical="center"/>
    </xf>
    <xf numFmtId="0" fontId="7" fillId="0" borderId="0" xfId="0" applyFont="1" applyAlignment="1" applyProtection="1">
      <alignment horizontal="right" vertical="center"/>
    </xf>
    <xf numFmtId="0" fontId="7" fillId="0" borderId="0" xfId="0" applyFont="1" applyAlignment="1" applyProtection="1">
      <alignment horizontal="right" vertical="center" wrapText="1"/>
    </xf>
    <xf numFmtId="0" fontId="7" fillId="0" borderId="0" xfId="0" applyFont="1" applyAlignment="1">
      <alignment vertical="center"/>
      <protection locked="0"/>
    </xf>
    <xf numFmtId="49" fontId="8" fillId="0" borderId="0" xfId="0" applyNumberFormat="1" applyFont="1" applyAlignment="1" applyProtection="1">
      <alignment vertical="center"/>
    </xf>
    <xf numFmtId="49" fontId="5" fillId="0" borderId="2" xfId="0" applyNumberFormat="1" applyFont="1" applyBorder="1" applyAlignment="1" applyProtection="1">
      <alignment horizontal="center" vertical="center" wrapText="1"/>
    </xf>
    <xf numFmtId="49" fontId="5" fillId="0" borderId="4" xfId="0" applyNumberFormat="1" applyFont="1" applyBorder="1" applyAlignment="1" applyProtection="1">
      <alignment horizontal="center" vertical="center" wrapText="1"/>
    </xf>
    <xf numFmtId="49" fontId="5" fillId="0" borderId="7" xfId="0" applyNumberFormat="1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center" vertical="center"/>
    </xf>
    <xf numFmtId="49" fontId="9" fillId="0" borderId="7" xfId="0" applyNumberFormat="1" applyFont="1" applyBorder="1" applyAlignment="1" applyProtection="1">
      <alignment horizontal="center" vertical="center"/>
    </xf>
    <xf numFmtId="0" fontId="9" fillId="0" borderId="7" xfId="0" applyFont="1" applyBorder="1" applyAlignment="1" applyProtection="1">
      <alignment horizontal="center" vertical="center"/>
    </xf>
    <xf numFmtId="49" fontId="9" fillId="0" borderId="7" xfId="0" applyNumberFormat="1" applyFont="1" applyBorder="1" applyAlignment="1">
      <alignment horizontal="center" vertical="center"/>
      <protection locked="0"/>
    </xf>
    <xf numFmtId="0" fontId="4" fillId="0" borderId="7" xfId="0" applyFont="1" applyBorder="1" applyAlignment="1" applyProtection="1">
      <alignment horizontal="left" vertical="center" wrapText="1" indent="2"/>
    </xf>
    <xf numFmtId="0" fontId="18" fillId="0" borderId="0" xfId="0" applyFont="1" applyAlignment="1" applyProtection="1">
      <alignment horizontal="center" vertical="center"/>
    </xf>
    <xf numFmtId="0" fontId="19" fillId="0" borderId="0" xfId="0" applyFont="1" applyAlignment="1" applyProtection="1">
      <alignment horizontal="center" vertical="center"/>
    </xf>
    <xf numFmtId="0" fontId="4" fillId="0" borderId="7" xfId="0" applyFont="1" applyBorder="1" applyAlignment="1" applyProtection="1">
      <alignment vertical="center"/>
    </xf>
    <xf numFmtId="0" fontId="4" fillId="0" borderId="7" xfId="0" applyFont="1" applyBorder="1" applyAlignment="1">
      <alignment horizontal="left" vertical="center"/>
      <protection locked="0"/>
    </xf>
    <xf numFmtId="0" fontId="4" fillId="0" borderId="7" xfId="0" applyFont="1" applyBorder="1" applyAlignment="1">
      <alignment vertical="center"/>
      <protection locked="0"/>
    </xf>
    <xf numFmtId="0" fontId="20" fillId="0" borderId="7" xfId="0" applyFont="1" applyBorder="1" applyAlignment="1" applyProtection="1">
      <alignment horizontal="center" vertical="center"/>
    </xf>
    <xf numFmtId="0" fontId="20" fillId="0" borderId="7" xfId="0" applyFont="1" applyBorder="1" applyAlignment="1">
      <alignment horizontal="center" vertical="center"/>
      <protection locked="0"/>
    </xf>
    <xf numFmtId="0" fontId="7" fillId="0" borderId="7" xfId="0" applyFont="1" applyBorder="1">
      <alignment vertical="top"/>
      <protection locked="0"/>
    </xf>
    <xf numFmtId="0" fontId="4" fillId="0" borderId="7" xfId="0" applyFont="1" applyBorder="1" applyAlignment="1" applyProtection="1">
      <alignment horizontal="left" vertical="center"/>
    </xf>
    <xf numFmtId="176" fontId="21" fillId="0" borderId="7" xfId="51" applyFont="1" applyProtection="1">
      <alignment horizontal="right" vertical="center"/>
      <protection locked="0"/>
    </xf>
    <xf numFmtId="0" fontId="22" fillId="0" borderId="0" xfId="0" applyFont="1" applyProtection="1">
      <alignment vertical="top"/>
    </xf>
    <xf numFmtId="0" fontId="23" fillId="0" borderId="0" xfId="0" applyFont="1" applyAlignment="1" applyProtection="1">
      <alignment horizontal="center" vertical="center"/>
    </xf>
    <xf numFmtId="0" fontId="4" fillId="0" borderId="0" xfId="0" applyFont="1" applyAlignment="1">
      <alignment horizontal="left" vertical="center" wrapText="1"/>
      <protection locked="0"/>
    </xf>
    <xf numFmtId="0" fontId="1" fillId="0" borderId="0" xfId="0" applyFont="1" applyAlignment="1" applyProtection="1">
      <alignment horizontal="left" vertical="center" wrapText="1"/>
    </xf>
    <xf numFmtId="0" fontId="24" fillId="0" borderId="0" xfId="0" applyFont="1" applyAlignment="1" applyProtection="1"/>
    <xf numFmtId="0" fontId="7" fillId="0" borderId="2" xfId="0" applyFont="1" applyBorder="1" applyAlignment="1">
      <alignment horizontal="center" vertical="center" wrapText="1"/>
      <protection locked="0"/>
    </xf>
    <xf numFmtId="0" fontId="7" fillId="0" borderId="4" xfId="0" applyFont="1" applyBorder="1" applyAlignment="1" applyProtection="1">
      <alignment horizontal="center" vertical="center" wrapText="1"/>
    </xf>
    <xf numFmtId="0" fontId="25" fillId="0" borderId="0" xfId="0" applyFont="1" applyAlignment="1" applyProtection="1">
      <alignment horizontal="center" vertical="center"/>
    </xf>
    <xf numFmtId="0" fontId="5" fillId="0" borderId="0" xfId="0" applyFont="1" applyAlignment="1" applyProtection="1">
      <alignment vertical="center"/>
    </xf>
    <xf numFmtId="0" fontId="6" fillId="0" borderId="1" xfId="0" applyFont="1" applyBorder="1" applyAlignment="1">
      <alignment horizontal="center" vertical="center" wrapText="1"/>
      <protection locked="0"/>
    </xf>
    <xf numFmtId="0" fontId="6" fillId="0" borderId="9" xfId="0" applyFont="1" applyBorder="1" applyAlignment="1">
      <alignment horizontal="center" vertical="center" wrapText="1"/>
      <protection locked="0"/>
    </xf>
    <xf numFmtId="0" fontId="6" fillId="0" borderId="3" xfId="0" applyFont="1" applyBorder="1" applyAlignment="1">
      <alignment horizontal="center" vertical="center" wrapText="1"/>
      <protection locked="0"/>
    </xf>
    <xf numFmtId="0" fontId="6" fillId="0" borderId="3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6" fillId="0" borderId="10" xfId="0" applyFont="1" applyBorder="1" applyAlignment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center" vertical="center" wrapText="1"/>
    </xf>
    <xf numFmtId="0" fontId="6" fillId="0" borderId="11" xfId="0" applyFont="1" applyBorder="1" applyAlignment="1" applyProtection="1">
      <alignment horizontal="center" vertical="center" wrapText="1"/>
    </xf>
    <xf numFmtId="0" fontId="6" fillId="0" borderId="11" xfId="0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vertical="center" wrapText="1"/>
    </xf>
    <xf numFmtId="0" fontId="4" fillId="0" borderId="11" xfId="0" applyFont="1" applyBorder="1" applyAlignment="1" applyProtection="1">
      <alignment vertical="center" wrapText="1"/>
    </xf>
    <xf numFmtId="0" fontId="4" fillId="0" borderId="6" xfId="0" applyFont="1" applyBorder="1" applyAlignment="1" applyProtection="1">
      <alignment horizontal="center" vertical="center"/>
    </xf>
    <xf numFmtId="0" fontId="4" fillId="0" borderId="11" xfId="0" applyFont="1" applyBorder="1" applyAlignment="1" applyProtection="1">
      <alignment horizontal="center" vertical="center"/>
    </xf>
    <xf numFmtId="0" fontId="25" fillId="0" borderId="0" xfId="0" applyFont="1" applyAlignment="1">
      <alignment horizontal="center" vertical="center"/>
      <protection locked="0"/>
    </xf>
    <xf numFmtId="0" fontId="5" fillId="0" borderId="0" xfId="0" applyFont="1" applyAlignment="1">
      <alignment vertical="center"/>
      <protection locked="0"/>
    </xf>
    <xf numFmtId="0" fontId="6" fillId="0" borderId="3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 wrapText="1"/>
    </xf>
    <xf numFmtId="0" fontId="6" fillId="0" borderId="12" xfId="0" applyFont="1" applyBorder="1" applyAlignment="1" applyProtection="1">
      <alignment horizontal="center" vertical="center"/>
    </xf>
    <xf numFmtId="0" fontId="6" fillId="0" borderId="11" xfId="0" applyFont="1" applyBorder="1" applyAlignment="1">
      <alignment horizontal="center" vertical="center"/>
      <protection locked="0"/>
    </xf>
    <xf numFmtId="0" fontId="6" fillId="2" borderId="4" xfId="0" applyFont="1" applyFill="1" applyBorder="1" applyAlignment="1">
      <alignment horizontal="center" vertical="center" wrapText="1"/>
      <protection locked="0"/>
    </xf>
    <xf numFmtId="0" fontId="26" fillId="0" borderId="0" xfId="0" applyFont="1" applyAlignment="1" applyProtection="1">
      <alignment horizontal="center" vertical="top"/>
    </xf>
    <xf numFmtId="0" fontId="27" fillId="0" borderId="0" xfId="0" applyFont="1" applyAlignment="1" applyProtection="1">
      <alignment horizontal="center" vertical="center"/>
    </xf>
    <xf numFmtId="0" fontId="7" fillId="0" borderId="4" xfId="0" applyFont="1" applyBorder="1" applyAlignment="1">
      <alignment horizontal="left" vertical="center"/>
      <protection locked="0"/>
    </xf>
    <xf numFmtId="0" fontId="7" fillId="0" borderId="6" xfId="0" applyFont="1" applyBorder="1" applyAlignment="1">
      <alignment horizontal="left" vertical="center"/>
      <protection locked="0"/>
    </xf>
    <xf numFmtId="0" fontId="7" fillId="0" borderId="11" xfId="0" applyFont="1" applyBorder="1" applyAlignment="1">
      <alignment horizontal="left" vertical="center"/>
      <protection locked="0"/>
    </xf>
    <xf numFmtId="0" fontId="8" fillId="0" borderId="6" xfId="0" applyFont="1" applyBorder="1" applyAlignment="1">
      <alignment vertical="center"/>
      <protection locked="0"/>
    </xf>
    <xf numFmtId="0" fontId="21" fillId="0" borderId="6" xfId="0" applyFont="1" applyBorder="1" applyAlignment="1">
      <alignment horizontal="center" vertical="center"/>
      <protection locked="0"/>
    </xf>
    <xf numFmtId="0" fontId="20" fillId="0" borderId="6" xfId="0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left" vertical="center"/>
    </xf>
    <xf numFmtId="0" fontId="20" fillId="0" borderId="6" xfId="0" applyFont="1" applyBorder="1" applyAlignment="1">
      <alignment horizontal="center" vertical="center"/>
      <protection locked="0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umberStyle" xfId="49"/>
    <cellStyle name="TextStyle" xfId="50"/>
    <cellStyle name="MoneyStyle" xfId="51"/>
    <cellStyle name="TimeStyle" xfId="52"/>
    <cellStyle name="DateStyle" xfId="53"/>
    <cellStyle name="DateTimeStyle" xfId="54"/>
    <cellStyle name="Percent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D37"/>
  <sheetViews>
    <sheetView showZeros="0" workbookViewId="0">
      <selection activeCell="A1" sqref="A1"/>
    </sheetView>
  </sheetViews>
  <sheetFormatPr defaultColWidth="9.14285714285714" defaultRowHeight="12" customHeight="1" outlineLevelCol="3"/>
  <cols>
    <col min="1" max="1" width="31.847619047619" customWidth="1"/>
    <col min="2" max="2" width="35.5714285714286" customWidth="1"/>
    <col min="3" max="3" width="36.5714285714286" customWidth="1"/>
    <col min="4" max="4" width="33.847619047619" customWidth="1"/>
  </cols>
  <sheetData>
    <row r="1" ht="15" customHeight="1" spans="4:4">
      <c r="D1" s="34" t="s">
        <v>0</v>
      </c>
    </row>
    <row r="2" ht="36" customHeight="1" spans="1:4">
      <c r="A2" s="4" t="str">
        <f>"2025"&amp;"年部门财务收支预算总表"</f>
        <v>2025年部门财务收支预算总表</v>
      </c>
      <c r="B2" s="214"/>
      <c r="C2" s="214"/>
      <c r="D2" s="214"/>
    </row>
    <row r="3" ht="18.75" customHeight="1" spans="1:4">
      <c r="A3" s="36" t="str">
        <f>"单位名称："&amp;"耿马傣族佤族自治县四排山乡"</f>
        <v>单位名称：耿马傣族佤族自治县四排山乡</v>
      </c>
      <c r="B3" s="215"/>
      <c r="C3" s="215"/>
      <c r="D3" s="34" t="s">
        <v>1</v>
      </c>
    </row>
    <row r="4" ht="18.75" customHeight="1" spans="1:4">
      <c r="A4" s="11" t="s">
        <v>2</v>
      </c>
      <c r="B4" s="13"/>
      <c r="C4" s="11" t="s">
        <v>3</v>
      </c>
      <c r="D4" s="13"/>
    </row>
    <row r="5" ht="18.75" customHeight="1" spans="1:4">
      <c r="A5" s="27" t="s">
        <v>4</v>
      </c>
      <c r="B5" s="27" t="str">
        <f t="shared" ref="B5:D5" si="0">"2025"&amp;"年预算数"</f>
        <v>2025年预算数</v>
      </c>
      <c r="C5" s="27" t="s">
        <v>5</v>
      </c>
      <c r="D5" s="27" t="str">
        <f t="shared" si="0"/>
        <v>2025年预算数</v>
      </c>
    </row>
    <row r="6" ht="18.75" customHeight="1" spans="1:4">
      <c r="A6" s="29"/>
      <c r="B6" s="29"/>
      <c r="C6" s="29"/>
      <c r="D6" s="29"/>
    </row>
    <row r="7" ht="18.75" customHeight="1" spans="1:4">
      <c r="A7" s="182" t="s">
        <v>6</v>
      </c>
      <c r="B7" s="23">
        <v>12767081.84</v>
      </c>
      <c r="C7" s="182" t="s">
        <v>7</v>
      </c>
      <c r="D7" s="23">
        <v>6804173.58</v>
      </c>
    </row>
    <row r="8" ht="18.75" customHeight="1" spans="1:4">
      <c r="A8" s="182" t="s">
        <v>8</v>
      </c>
      <c r="B8" s="23"/>
      <c r="C8" s="182" t="s">
        <v>9</v>
      </c>
      <c r="D8" s="23"/>
    </row>
    <row r="9" ht="18.75" customHeight="1" spans="1:4">
      <c r="A9" s="182" t="s">
        <v>10</v>
      </c>
      <c r="B9" s="23"/>
      <c r="C9" s="182" t="s">
        <v>11</v>
      </c>
      <c r="D9" s="23"/>
    </row>
    <row r="10" ht="18.75" customHeight="1" spans="1:4">
      <c r="A10" s="182" t="s">
        <v>12</v>
      </c>
      <c r="B10" s="23"/>
      <c r="C10" s="182" t="s">
        <v>13</v>
      </c>
      <c r="D10" s="23">
        <v>15360</v>
      </c>
    </row>
    <row r="11" ht="18.75" customHeight="1" spans="1:4">
      <c r="A11" s="21" t="s">
        <v>14</v>
      </c>
      <c r="B11" s="23"/>
      <c r="C11" s="216" t="s">
        <v>15</v>
      </c>
      <c r="D11" s="23"/>
    </row>
    <row r="12" ht="18.75" customHeight="1" spans="1:4">
      <c r="A12" s="217" t="s">
        <v>16</v>
      </c>
      <c r="B12" s="23"/>
      <c r="C12" s="218" t="s">
        <v>17</v>
      </c>
      <c r="D12" s="23"/>
    </row>
    <row r="13" ht="18.75" customHeight="1" spans="1:4">
      <c r="A13" s="217" t="s">
        <v>18</v>
      </c>
      <c r="B13" s="23"/>
      <c r="C13" s="218" t="s">
        <v>19</v>
      </c>
      <c r="D13" s="23">
        <v>48000</v>
      </c>
    </row>
    <row r="14" ht="18.75" customHeight="1" spans="1:4">
      <c r="A14" s="217" t="s">
        <v>20</v>
      </c>
      <c r="B14" s="23"/>
      <c r="C14" s="218" t="s">
        <v>21</v>
      </c>
      <c r="D14" s="23">
        <v>1434854.52</v>
      </c>
    </row>
    <row r="15" ht="18.75" customHeight="1" spans="1:4">
      <c r="A15" s="217" t="s">
        <v>22</v>
      </c>
      <c r="B15" s="23"/>
      <c r="C15" s="218" t="s">
        <v>23</v>
      </c>
      <c r="D15" s="23">
        <v>489298.64</v>
      </c>
    </row>
    <row r="16" ht="18.75" customHeight="1" spans="1:4">
      <c r="A16" s="217" t="s">
        <v>24</v>
      </c>
      <c r="B16" s="23"/>
      <c r="C16" s="217" t="s">
        <v>25</v>
      </c>
      <c r="D16" s="23">
        <v>165000</v>
      </c>
    </row>
    <row r="17" ht="18.75" customHeight="1" spans="1:4">
      <c r="A17" s="217" t="s">
        <v>26</v>
      </c>
      <c r="B17" s="23"/>
      <c r="C17" s="217" t="s">
        <v>27</v>
      </c>
      <c r="D17" s="23">
        <v>941044.24</v>
      </c>
    </row>
    <row r="18" ht="18.75" customHeight="1" spans="1:4">
      <c r="A18" s="219" t="s">
        <v>26</v>
      </c>
      <c r="B18" s="23"/>
      <c r="C18" s="218" t="s">
        <v>28</v>
      </c>
      <c r="D18" s="23">
        <v>2261600.78</v>
      </c>
    </row>
    <row r="19" ht="18.75" customHeight="1" spans="1:4">
      <c r="A19" s="219" t="s">
        <v>26</v>
      </c>
      <c r="B19" s="23"/>
      <c r="C19" s="218" t="s">
        <v>29</v>
      </c>
      <c r="D19" s="23"/>
    </row>
    <row r="20" ht="18.75" customHeight="1" spans="1:4">
      <c r="A20" s="219" t="s">
        <v>26</v>
      </c>
      <c r="B20" s="23"/>
      <c r="C20" s="218" t="s">
        <v>30</v>
      </c>
      <c r="D20" s="23"/>
    </row>
    <row r="21" ht="18.75" customHeight="1" spans="1:4">
      <c r="A21" s="219" t="s">
        <v>26</v>
      </c>
      <c r="B21" s="23"/>
      <c r="C21" s="218" t="s">
        <v>31</v>
      </c>
      <c r="D21" s="23"/>
    </row>
    <row r="22" ht="18.75" customHeight="1" spans="1:4">
      <c r="A22" s="219" t="s">
        <v>26</v>
      </c>
      <c r="B22" s="23"/>
      <c r="C22" s="218" t="s">
        <v>32</v>
      </c>
      <c r="D22" s="23"/>
    </row>
    <row r="23" ht="18.75" customHeight="1" spans="1:4">
      <c r="A23" s="219" t="s">
        <v>26</v>
      </c>
      <c r="B23" s="23"/>
      <c r="C23" s="218" t="s">
        <v>33</v>
      </c>
      <c r="D23" s="23"/>
    </row>
    <row r="24" ht="18.75" customHeight="1" spans="1:4">
      <c r="A24" s="219" t="s">
        <v>26</v>
      </c>
      <c r="B24" s="23"/>
      <c r="C24" s="218" t="s">
        <v>34</v>
      </c>
      <c r="D24" s="23"/>
    </row>
    <row r="25" ht="18.75" customHeight="1" spans="1:4">
      <c r="A25" s="219" t="s">
        <v>26</v>
      </c>
      <c r="B25" s="23"/>
      <c r="C25" s="218" t="s">
        <v>35</v>
      </c>
      <c r="D25" s="23">
        <v>598150.08</v>
      </c>
    </row>
    <row r="26" ht="18.75" customHeight="1" spans="1:4">
      <c r="A26" s="219" t="s">
        <v>26</v>
      </c>
      <c r="B26" s="23"/>
      <c r="C26" s="218" t="s">
        <v>36</v>
      </c>
      <c r="D26" s="23"/>
    </row>
    <row r="27" ht="18.75" customHeight="1" spans="1:4">
      <c r="A27" s="219" t="s">
        <v>26</v>
      </c>
      <c r="B27" s="23"/>
      <c r="C27" s="218" t="s">
        <v>37</v>
      </c>
      <c r="D27" s="23"/>
    </row>
    <row r="28" ht="18.75" customHeight="1" spans="1:4">
      <c r="A28" s="219" t="s">
        <v>26</v>
      </c>
      <c r="B28" s="23"/>
      <c r="C28" s="218" t="s">
        <v>38</v>
      </c>
      <c r="D28" s="23">
        <v>9600</v>
      </c>
    </row>
    <row r="29" ht="18.75" customHeight="1" spans="1:4">
      <c r="A29" s="219" t="s">
        <v>26</v>
      </c>
      <c r="B29" s="23"/>
      <c r="C29" s="218" t="s">
        <v>39</v>
      </c>
      <c r="D29" s="23"/>
    </row>
    <row r="30" ht="18.75" customHeight="1" spans="1:4">
      <c r="A30" s="220" t="s">
        <v>26</v>
      </c>
      <c r="B30" s="23"/>
      <c r="C30" s="217" t="s">
        <v>40</v>
      </c>
      <c r="D30" s="23"/>
    </row>
    <row r="31" ht="18.75" customHeight="1" spans="1:4">
      <c r="A31" s="220" t="s">
        <v>26</v>
      </c>
      <c r="B31" s="23"/>
      <c r="C31" s="217" t="s">
        <v>41</v>
      </c>
      <c r="D31" s="23"/>
    </row>
    <row r="32" ht="18.75" customHeight="1" spans="1:4">
      <c r="A32" s="220" t="s">
        <v>26</v>
      </c>
      <c r="B32" s="23"/>
      <c r="C32" s="217" t="s">
        <v>42</v>
      </c>
      <c r="D32" s="23"/>
    </row>
    <row r="33" ht="18.75" customHeight="1" spans="1:4">
      <c r="A33" s="221" t="s">
        <v>43</v>
      </c>
      <c r="B33" s="183">
        <f>SUM(B7:B11)</f>
        <v>12767081.84</v>
      </c>
      <c r="C33" s="179" t="s">
        <v>44</v>
      </c>
      <c r="D33" s="183">
        <v>12767081.84</v>
      </c>
    </row>
    <row r="34" ht="18.75" customHeight="1" spans="1:4">
      <c r="A34" s="222" t="s">
        <v>45</v>
      </c>
      <c r="B34" s="23"/>
      <c r="C34" s="182" t="s">
        <v>46</v>
      </c>
      <c r="D34" s="23"/>
    </row>
    <row r="35" ht="18.75" customHeight="1" spans="1:4">
      <c r="A35" s="222" t="s">
        <v>47</v>
      </c>
      <c r="B35" s="23"/>
      <c r="C35" s="182" t="s">
        <v>47</v>
      </c>
      <c r="D35" s="23"/>
    </row>
    <row r="36" ht="18.75" customHeight="1" spans="1:4">
      <c r="A36" s="222" t="s">
        <v>48</v>
      </c>
      <c r="B36" s="23"/>
      <c r="C36" s="182" t="s">
        <v>49</v>
      </c>
      <c r="D36" s="23"/>
    </row>
    <row r="37" ht="18.75" customHeight="1" spans="1:4">
      <c r="A37" s="223" t="s">
        <v>50</v>
      </c>
      <c r="B37" s="183">
        <f t="shared" ref="B37:D37" si="1">B33+B34</f>
        <v>12767081.84</v>
      </c>
      <c r="C37" s="179" t="s">
        <v>51</v>
      </c>
      <c r="D37" s="183">
        <f t="shared" si="1"/>
        <v>12767081.84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S9"/>
  <sheetViews>
    <sheetView showZeros="0" workbookViewId="0">
      <selection activeCell="A1" sqref="A1"/>
    </sheetView>
  </sheetViews>
  <sheetFormatPr defaultColWidth="9.14285714285714" defaultRowHeight="14.25" customHeight="1"/>
  <cols>
    <col min="1" max="1" width="21.1428571428571" customWidth="1"/>
    <col min="2" max="2" width="35.2857142857143" customWidth="1"/>
    <col min="3" max="8" width="20.4190476190476" customWidth="1"/>
    <col min="9" max="11" width="20.5714285714286" customWidth="1"/>
    <col min="12" max="12" width="20.4190476190476" customWidth="1"/>
    <col min="13" max="13" width="20.5714285714286" customWidth="1"/>
    <col min="14" max="19" width="20.4190476190476" customWidth="1"/>
  </cols>
  <sheetData>
    <row r="1" ht="19.5" customHeight="1" spans="10:19">
      <c r="J1" s="184"/>
      <c r="O1" s="65"/>
      <c r="P1" s="65"/>
      <c r="Q1" s="65"/>
      <c r="R1" s="65"/>
      <c r="S1" s="33" t="s">
        <v>52</v>
      </c>
    </row>
    <row r="2" ht="57.75" customHeight="1" spans="1:19">
      <c r="A2" s="134" t="str">
        <f>"2025"&amp;"年部门收入预算表"</f>
        <v>2025年部门收入预算表</v>
      </c>
      <c r="B2" s="191"/>
      <c r="C2" s="191"/>
      <c r="D2" s="191"/>
      <c r="E2" s="191"/>
      <c r="F2" s="191"/>
      <c r="G2" s="191"/>
      <c r="H2" s="191"/>
      <c r="I2" s="191"/>
      <c r="J2" s="191"/>
      <c r="K2" s="191"/>
      <c r="L2" s="191"/>
      <c r="M2" s="191"/>
      <c r="N2" s="191"/>
      <c r="O2" s="207"/>
      <c r="P2" s="207"/>
      <c r="Q2" s="207"/>
      <c r="R2" s="207"/>
      <c r="S2" s="207"/>
    </row>
    <row r="3" ht="18.75" customHeight="1" spans="1:19">
      <c r="A3" s="36" t="str">
        <f>"单位名称："&amp;"耿马傣族佤族自治县四排山乡"</f>
        <v>单位名称：耿马傣族佤族自治县四排山乡</v>
      </c>
      <c r="B3" s="192"/>
      <c r="C3" s="192"/>
      <c r="D3" s="192"/>
      <c r="E3" s="192"/>
      <c r="F3" s="192"/>
      <c r="G3" s="192"/>
      <c r="H3" s="192"/>
      <c r="I3" s="192"/>
      <c r="J3" s="208"/>
      <c r="K3" s="192"/>
      <c r="L3" s="192"/>
      <c r="M3" s="192"/>
      <c r="N3" s="192"/>
      <c r="O3" s="208"/>
      <c r="P3" s="208"/>
      <c r="Q3" s="208"/>
      <c r="R3" s="208"/>
      <c r="S3" s="33" t="s">
        <v>1</v>
      </c>
    </row>
    <row r="4" ht="18.75" customHeight="1" spans="1:19">
      <c r="A4" s="193" t="s">
        <v>53</v>
      </c>
      <c r="B4" s="194" t="s">
        <v>54</v>
      </c>
      <c r="C4" s="194" t="s">
        <v>55</v>
      </c>
      <c r="D4" s="195" t="s">
        <v>56</v>
      </c>
      <c r="E4" s="196"/>
      <c r="F4" s="196"/>
      <c r="G4" s="196"/>
      <c r="H4" s="196"/>
      <c r="I4" s="196"/>
      <c r="J4" s="209"/>
      <c r="K4" s="196"/>
      <c r="L4" s="196"/>
      <c r="M4" s="196"/>
      <c r="N4" s="210"/>
      <c r="O4" s="195" t="s">
        <v>45</v>
      </c>
      <c r="P4" s="195"/>
      <c r="Q4" s="195"/>
      <c r="R4" s="195"/>
      <c r="S4" s="213"/>
    </row>
    <row r="5" ht="18.75" customHeight="1" spans="1:19">
      <c r="A5" s="197"/>
      <c r="B5" s="198"/>
      <c r="C5" s="198"/>
      <c r="D5" s="199" t="s">
        <v>57</v>
      </c>
      <c r="E5" s="199" t="s">
        <v>58</v>
      </c>
      <c r="F5" s="199" t="s">
        <v>59</v>
      </c>
      <c r="G5" s="199" t="s">
        <v>60</v>
      </c>
      <c r="H5" s="199" t="s">
        <v>61</v>
      </c>
      <c r="I5" s="211" t="s">
        <v>62</v>
      </c>
      <c r="J5" s="211"/>
      <c r="K5" s="211"/>
      <c r="L5" s="211"/>
      <c r="M5" s="211"/>
      <c r="N5" s="202"/>
      <c r="O5" s="199" t="s">
        <v>57</v>
      </c>
      <c r="P5" s="199" t="s">
        <v>58</v>
      </c>
      <c r="Q5" s="199" t="s">
        <v>59</v>
      </c>
      <c r="R5" s="199" t="s">
        <v>60</v>
      </c>
      <c r="S5" s="199" t="s">
        <v>63</v>
      </c>
    </row>
    <row r="6" ht="18.75" customHeight="1" spans="1:19">
      <c r="A6" s="200"/>
      <c r="B6" s="201"/>
      <c r="C6" s="201"/>
      <c r="D6" s="202"/>
      <c r="E6" s="202"/>
      <c r="F6" s="202"/>
      <c r="G6" s="202"/>
      <c r="H6" s="202"/>
      <c r="I6" s="201" t="s">
        <v>57</v>
      </c>
      <c r="J6" s="201" t="s">
        <v>64</v>
      </c>
      <c r="K6" s="201" t="s">
        <v>65</v>
      </c>
      <c r="L6" s="201" t="s">
        <v>66</v>
      </c>
      <c r="M6" s="201" t="s">
        <v>67</v>
      </c>
      <c r="N6" s="201" t="s">
        <v>68</v>
      </c>
      <c r="O6" s="212"/>
      <c r="P6" s="212"/>
      <c r="Q6" s="212"/>
      <c r="R6" s="212"/>
      <c r="S6" s="202"/>
    </row>
    <row r="7" ht="18.75" customHeight="1" spans="1:19">
      <c r="A7" s="171">
        <v>1</v>
      </c>
      <c r="B7" s="171">
        <v>2</v>
      </c>
      <c r="C7" s="171">
        <v>3</v>
      </c>
      <c r="D7" s="171">
        <v>4</v>
      </c>
      <c r="E7" s="171">
        <v>5</v>
      </c>
      <c r="F7" s="171">
        <v>6</v>
      </c>
      <c r="G7" s="171">
        <v>7</v>
      </c>
      <c r="H7" s="171">
        <v>8</v>
      </c>
      <c r="I7" s="171">
        <v>9</v>
      </c>
      <c r="J7" s="171">
        <v>10</v>
      </c>
      <c r="K7" s="171">
        <v>11</v>
      </c>
      <c r="L7" s="171">
        <v>12</v>
      </c>
      <c r="M7" s="171">
        <v>13</v>
      </c>
      <c r="N7" s="171">
        <v>14</v>
      </c>
      <c r="O7" s="171">
        <v>15</v>
      </c>
      <c r="P7" s="171">
        <v>16</v>
      </c>
      <c r="Q7" s="171">
        <v>17</v>
      </c>
      <c r="R7" s="171">
        <v>18</v>
      </c>
      <c r="S7" s="171">
        <v>19</v>
      </c>
    </row>
    <row r="8" ht="18.75" customHeight="1" spans="1:19">
      <c r="A8" s="203" t="s">
        <v>69</v>
      </c>
      <c r="B8" s="204" t="s">
        <v>70</v>
      </c>
      <c r="C8" s="23">
        <v>12767081.84</v>
      </c>
      <c r="D8" s="23">
        <v>12767081.84</v>
      </c>
      <c r="E8" s="23">
        <v>12767081.84</v>
      </c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</row>
    <row r="9" ht="18.75" customHeight="1" spans="1:19">
      <c r="A9" s="205" t="s">
        <v>55</v>
      </c>
      <c r="B9" s="206"/>
      <c r="C9" s="23">
        <v>12767081.84</v>
      </c>
      <c r="D9" s="23">
        <v>12767081.84</v>
      </c>
      <c r="E9" s="23">
        <v>12767081.84</v>
      </c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</row>
  </sheetData>
  <mergeCells count="19">
    <mergeCell ref="A2:S2"/>
    <mergeCell ref="A3:D3"/>
    <mergeCell ref="D4:N4"/>
    <mergeCell ref="O4:S4"/>
    <mergeCell ref="I5:N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O79"/>
  <sheetViews>
    <sheetView showZeros="0" topLeftCell="G1" workbookViewId="0">
      <selection activeCell="A1" sqref="A1"/>
    </sheetView>
  </sheetViews>
  <sheetFormatPr defaultColWidth="9.14285714285714" defaultRowHeight="14.25" customHeight="1"/>
  <cols>
    <col min="1" max="1" width="14.2857142857143" customWidth="1"/>
    <col min="2" max="2" width="37.7142857142857" customWidth="1"/>
    <col min="3" max="6" width="19.1428571428571" customWidth="1"/>
    <col min="7" max="8" width="19" customWidth="1"/>
    <col min="9" max="9" width="18.847619047619" customWidth="1"/>
    <col min="10" max="11" width="19" customWidth="1"/>
    <col min="12" max="14" width="18.847619047619" customWidth="1"/>
    <col min="15" max="15" width="19" customWidth="1"/>
  </cols>
  <sheetData>
    <row r="1" ht="19.5" customHeight="1" spans="4:15">
      <c r="D1" s="184"/>
      <c r="H1" s="184"/>
      <c r="J1" s="184"/>
      <c r="O1" s="34" t="s">
        <v>71</v>
      </c>
    </row>
    <row r="2" ht="42" customHeight="1" spans="1:15">
      <c r="A2" s="4" t="str">
        <f>"2025"&amp;"年部门支出预算表"</f>
        <v>2025年部门支出预算表</v>
      </c>
      <c r="B2" s="185"/>
      <c r="C2" s="185"/>
      <c r="D2" s="185"/>
      <c r="E2" s="185"/>
      <c r="F2" s="185"/>
      <c r="G2" s="185"/>
      <c r="H2" s="185"/>
      <c r="I2" s="185"/>
      <c r="J2" s="185"/>
      <c r="K2" s="185"/>
      <c r="L2" s="185"/>
      <c r="M2" s="185"/>
      <c r="N2" s="185"/>
      <c r="O2" s="185"/>
    </row>
    <row r="3" ht="18.75" customHeight="1" spans="1:15">
      <c r="A3" s="186" t="str">
        <f>"单位名称："&amp;"耿马傣族佤族自治县四排山乡"</f>
        <v>单位名称：耿马傣族佤族自治县四排山乡</v>
      </c>
      <c r="B3" s="187"/>
      <c r="C3" s="64"/>
      <c r="D3" s="2"/>
      <c r="E3" s="64"/>
      <c r="F3" s="64"/>
      <c r="G3" s="64"/>
      <c r="H3" s="2"/>
      <c r="I3" s="64"/>
      <c r="J3" s="2"/>
      <c r="K3" s="64"/>
      <c r="L3" s="64"/>
      <c r="M3" s="188"/>
      <c r="N3" s="188"/>
      <c r="O3" s="34" t="s">
        <v>1</v>
      </c>
    </row>
    <row r="4" ht="18.75" customHeight="1" spans="1:15">
      <c r="A4" s="9" t="s">
        <v>72</v>
      </c>
      <c r="B4" s="9" t="s">
        <v>73</v>
      </c>
      <c r="C4" s="9" t="s">
        <v>55</v>
      </c>
      <c r="D4" s="11" t="s">
        <v>58</v>
      </c>
      <c r="E4" s="73" t="s">
        <v>74</v>
      </c>
      <c r="F4" s="142" t="s">
        <v>75</v>
      </c>
      <c r="G4" s="9" t="s">
        <v>59</v>
      </c>
      <c r="H4" s="9" t="s">
        <v>60</v>
      </c>
      <c r="I4" s="9" t="s">
        <v>76</v>
      </c>
      <c r="J4" s="11" t="s">
        <v>77</v>
      </c>
      <c r="K4" s="12"/>
      <c r="L4" s="12"/>
      <c r="M4" s="12"/>
      <c r="N4" s="12"/>
      <c r="O4" s="13"/>
    </row>
    <row r="5" ht="29.25" customHeight="1" spans="1:15">
      <c r="A5" s="17"/>
      <c r="B5" s="17"/>
      <c r="C5" s="17"/>
      <c r="D5" s="169" t="s">
        <v>57</v>
      </c>
      <c r="E5" s="92" t="s">
        <v>74</v>
      </c>
      <c r="F5" s="92" t="s">
        <v>75</v>
      </c>
      <c r="G5" s="17"/>
      <c r="H5" s="17"/>
      <c r="I5" s="17"/>
      <c r="J5" s="169" t="s">
        <v>57</v>
      </c>
      <c r="K5" s="42" t="s">
        <v>78</v>
      </c>
      <c r="L5" s="42" t="s">
        <v>79</v>
      </c>
      <c r="M5" s="42" t="s">
        <v>80</v>
      </c>
      <c r="N5" s="42" t="s">
        <v>81</v>
      </c>
      <c r="O5" s="42" t="s">
        <v>82</v>
      </c>
    </row>
    <row r="6" ht="18.75" customHeight="1" spans="1:15">
      <c r="A6" s="120">
        <v>1</v>
      </c>
      <c r="B6" s="120">
        <v>2</v>
      </c>
      <c r="C6" s="171">
        <v>3</v>
      </c>
      <c r="D6" s="171">
        <v>4</v>
      </c>
      <c r="E6" s="171">
        <v>5</v>
      </c>
      <c r="F6" s="171">
        <v>6</v>
      </c>
      <c r="G6" s="171">
        <v>7</v>
      </c>
      <c r="H6" s="171">
        <v>8</v>
      </c>
      <c r="I6" s="171">
        <v>9</v>
      </c>
      <c r="J6" s="171">
        <v>10</v>
      </c>
      <c r="K6" s="171">
        <v>11</v>
      </c>
      <c r="L6" s="171">
        <v>12</v>
      </c>
      <c r="M6" s="171">
        <v>13</v>
      </c>
      <c r="N6" s="171">
        <v>14</v>
      </c>
      <c r="O6" s="171">
        <v>15</v>
      </c>
    </row>
    <row r="7" ht="18.75" customHeight="1" spans="1:15">
      <c r="A7" s="182" t="s">
        <v>83</v>
      </c>
      <c r="B7" s="182" t="s">
        <v>84</v>
      </c>
      <c r="C7" s="23">
        <v>6804173.58</v>
      </c>
      <c r="D7" s="23">
        <v>6804173.58</v>
      </c>
      <c r="E7" s="23">
        <v>6657173.58</v>
      </c>
      <c r="F7" s="23">
        <v>147000</v>
      </c>
      <c r="G7" s="23"/>
      <c r="H7" s="23"/>
      <c r="I7" s="23"/>
      <c r="J7" s="23"/>
      <c r="K7" s="23"/>
      <c r="L7" s="23"/>
      <c r="M7" s="23"/>
      <c r="N7" s="23"/>
      <c r="O7" s="23"/>
    </row>
    <row r="8" ht="18.75" customHeight="1" spans="1:15">
      <c r="A8" s="182" t="str">
        <f>" "&amp;"20101"</f>
        <v> 20101</v>
      </c>
      <c r="B8" s="182" t="str">
        <f>"  "&amp;"人大事务"</f>
        <v>  人大事务</v>
      </c>
      <c r="C8" s="23">
        <v>178073.36</v>
      </c>
      <c r="D8" s="23">
        <v>178073.36</v>
      </c>
      <c r="E8" s="23">
        <v>158073.36</v>
      </c>
      <c r="F8" s="23">
        <v>20000</v>
      </c>
      <c r="G8" s="23"/>
      <c r="H8" s="23"/>
      <c r="I8" s="23"/>
      <c r="J8" s="23"/>
      <c r="K8" s="23"/>
      <c r="L8" s="23"/>
      <c r="M8" s="23"/>
      <c r="N8" s="23"/>
      <c r="O8" s="23"/>
    </row>
    <row r="9" ht="18.75" customHeight="1" spans="1:15">
      <c r="A9" s="21" t="str">
        <f>"  "&amp;"2010101"</f>
        <v>  2010101</v>
      </c>
      <c r="B9" s="138" t="str">
        <f t="shared" ref="B9:B78" si="0">"    "&amp;"行政运行"</f>
        <v>    行政运行</v>
      </c>
      <c r="C9" s="23">
        <v>158073.36</v>
      </c>
      <c r="D9" s="23">
        <v>158073.36</v>
      </c>
      <c r="E9" s="23">
        <v>158073.36</v>
      </c>
      <c r="F9" s="23"/>
      <c r="G9" s="23"/>
      <c r="H9" s="23"/>
      <c r="I9" s="23"/>
      <c r="J9" s="23"/>
      <c r="K9" s="23"/>
      <c r="L9" s="23"/>
      <c r="M9" s="23"/>
      <c r="N9" s="23"/>
      <c r="O9" s="23"/>
    </row>
    <row r="10" ht="18.75" customHeight="1" spans="1:15">
      <c r="A10" s="21" t="str">
        <f>"  "&amp;"2010102"</f>
        <v>  2010102</v>
      </c>
      <c r="B10" s="138" t="str">
        <f t="shared" ref="B10:B13" si="1">"    "&amp;"一般行政管理事务"</f>
        <v>    一般行政管理事务</v>
      </c>
      <c r="C10" s="23">
        <v>20000</v>
      </c>
      <c r="D10" s="23">
        <v>20000</v>
      </c>
      <c r="E10" s="23"/>
      <c r="F10" s="23">
        <v>20000</v>
      </c>
      <c r="G10" s="23"/>
      <c r="H10" s="23"/>
      <c r="I10" s="23"/>
      <c r="J10" s="23"/>
      <c r="K10" s="23"/>
      <c r="L10" s="23"/>
      <c r="M10" s="23"/>
      <c r="N10" s="23"/>
      <c r="O10" s="23"/>
    </row>
    <row r="11" ht="18.75" customHeight="1" spans="1:15">
      <c r="A11" s="182" t="str">
        <f>" "&amp;"20103"</f>
        <v> 20103</v>
      </c>
      <c r="B11" s="182" t="str">
        <f>"  "&amp;"政府办公厅（室）及相关机构事务"</f>
        <v>  政府办公厅（室）及相关机构事务</v>
      </c>
      <c r="C11" s="23">
        <v>4533916.46</v>
      </c>
      <c r="D11" s="23">
        <v>4533916.46</v>
      </c>
      <c r="E11" s="23">
        <v>4419916.46</v>
      </c>
      <c r="F11" s="23">
        <v>114000</v>
      </c>
      <c r="G11" s="23"/>
      <c r="H11" s="23"/>
      <c r="I11" s="23"/>
      <c r="J11" s="23"/>
      <c r="K11" s="23"/>
      <c r="L11" s="23"/>
      <c r="M11" s="23"/>
      <c r="N11" s="23"/>
      <c r="O11" s="23"/>
    </row>
    <row r="12" ht="18.75" customHeight="1" spans="1:15">
      <c r="A12" s="21" t="str">
        <f>"  "&amp;"2010301"</f>
        <v>  2010301</v>
      </c>
      <c r="B12" s="138" t="str">
        <f t="shared" si="0"/>
        <v>    行政运行</v>
      </c>
      <c r="C12" s="23">
        <v>4419916.46</v>
      </c>
      <c r="D12" s="23">
        <v>4419916.46</v>
      </c>
      <c r="E12" s="23">
        <v>4419916.46</v>
      </c>
      <c r="F12" s="23"/>
      <c r="G12" s="23"/>
      <c r="H12" s="23"/>
      <c r="I12" s="23"/>
      <c r="J12" s="23"/>
      <c r="K12" s="23"/>
      <c r="L12" s="23"/>
      <c r="M12" s="23"/>
      <c r="N12" s="23"/>
      <c r="O12" s="23"/>
    </row>
    <row r="13" ht="18.75" customHeight="1" spans="1:15">
      <c r="A13" s="21" t="str">
        <f>"  "&amp;"2010302"</f>
        <v>  2010302</v>
      </c>
      <c r="B13" s="138" t="str">
        <f t="shared" si="1"/>
        <v>    一般行政管理事务</v>
      </c>
      <c r="C13" s="23">
        <v>40000</v>
      </c>
      <c r="D13" s="23">
        <v>40000</v>
      </c>
      <c r="E13" s="23"/>
      <c r="F13" s="23">
        <v>40000</v>
      </c>
      <c r="G13" s="23"/>
      <c r="H13" s="23"/>
      <c r="I13" s="23"/>
      <c r="J13" s="23"/>
      <c r="K13" s="23"/>
      <c r="L13" s="23"/>
      <c r="M13" s="23"/>
      <c r="N13" s="23"/>
      <c r="O13" s="23"/>
    </row>
    <row r="14" ht="18.75" customHeight="1" spans="1:15">
      <c r="A14" s="21" t="str">
        <f>"  "&amp;"2010399"</f>
        <v>  2010399</v>
      </c>
      <c r="B14" s="138" t="str">
        <f>"    "&amp;"其他政府办公厅（室）及相关机构事务支出"</f>
        <v>    其他政府办公厅（室）及相关机构事务支出</v>
      </c>
      <c r="C14" s="23">
        <v>74000</v>
      </c>
      <c r="D14" s="23">
        <v>74000</v>
      </c>
      <c r="E14" s="23"/>
      <c r="F14" s="23">
        <v>74000</v>
      </c>
      <c r="G14" s="23"/>
      <c r="H14" s="23"/>
      <c r="I14" s="23"/>
      <c r="J14" s="23"/>
      <c r="K14" s="23"/>
      <c r="L14" s="23"/>
      <c r="M14" s="23"/>
      <c r="N14" s="23"/>
      <c r="O14" s="23"/>
    </row>
    <row r="15" ht="18.75" customHeight="1" spans="1:15">
      <c r="A15" s="182" t="str">
        <f>" "&amp;"20104"</f>
        <v> 20104</v>
      </c>
      <c r="B15" s="182" t="str">
        <f>"  "&amp;"发展与改革事务"</f>
        <v>  发展与改革事务</v>
      </c>
      <c r="C15" s="23">
        <v>3000</v>
      </c>
      <c r="D15" s="23">
        <v>3000</v>
      </c>
      <c r="E15" s="23"/>
      <c r="F15" s="23">
        <v>3000</v>
      </c>
      <c r="G15" s="23"/>
      <c r="H15" s="23"/>
      <c r="I15" s="23"/>
      <c r="J15" s="23"/>
      <c r="K15" s="23"/>
      <c r="L15" s="23"/>
      <c r="M15" s="23"/>
      <c r="N15" s="23"/>
      <c r="O15" s="23"/>
    </row>
    <row r="16" ht="18.75" customHeight="1" spans="1:15">
      <c r="A16" s="21" t="str">
        <f>"  "&amp;"2010406"</f>
        <v>  2010406</v>
      </c>
      <c r="B16" s="138" t="str">
        <f>"    "&amp;"社会事业发展规划"</f>
        <v>    社会事业发展规划</v>
      </c>
      <c r="C16" s="23">
        <v>3000</v>
      </c>
      <c r="D16" s="23">
        <v>3000</v>
      </c>
      <c r="E16" s="23"/>
      <c r="F16" s="23">
        <v>3000</v>
      </c>
      <c r="G16" s="23"/>
      <c r="H16" s="23"/>
      <c r="I16" s="23"/>
      <c r="J16" s="23"/>
      <c r="K16" s="23"/>
      <c r="L16" s="23"/>
      <c r="M16" s="23"/>
      <c r="N16" s="23"/>
      <c r="O16" s="23"/>
    </row>
    <row r="17" ht="18.75" customHeight="1" spans="1:15">
      <c r="A17" s="182" t="str">
        <f>" "&amp;"20105"</f>
        <v> 20105</v>
      </c>
      <c r="B17" s="182" t="str">
        <f>"  "&amp;"统计信息事务"</f>
        <v>  统计信息事务</v>
      </c>
      <c r="C17" s="23">
        <v>10000</v>
      </c>
      <c r="D17" s="23">
        <v>10000</v>
      </c>
      <c r="E17" s="23"/>
      <c r="F17" s="23">
        <v>10000</v>
      </c>
      <c r="G17" s="23"/>
      <c r="H17" s="23"/>
      <c r="I17" s="23"/>
      <c r="J17" s="23"/>
      <c r="K17" s="23"/>
      <c r="L17" s="23"/>
      <c r="M17" s="23"/>
      <c r="N17" s="23"/>
      <c r="O17" s="23"/>
    </row>
    <row r="18" ht="18.75" customHeight="1" spans="1:15">
      <c r="A18" s="21" t="str">
        <f>"  "&amp;"2010508"</f>
        <v>  2010508</v>
      </c>
      <c r="B18" s="138" t="str">
        <f>"    "&amp;"统计抽样调查"</f>
        <v>    统计抽样调查</v>
      </c>
      <c r="C18" s="23">
        <v>10000</v>
      </c>
      <c r="D18" s="23">
        <v>10000</v>
      </c>
      <c r="E18" s="23"/>
      <c r="F18" s="23">
        <v>10000</v>
      </c>
      <c r="G18" s="23"/>
      <c r="H18" s="23"/>
      <c r="I18" s="23"/>
      <c r="J18" s="23"/>
      <c r="K18" s="23"/>
      <c r="L18" s="23"/>
      <c r="M18" s="23"/>
      <c r="N18" s="23"/>
      <c r="O18" s="23"/>
    </row>
    <row r="19" ht="18.75" customHeight="1" spans="1:15">
      <c r="A19" s="182" t="str">
        <f>" "&amp;"20111"</f>
        <v> 20111</v>
      </c>
      <c r="B19" s="182" t="str">
        <f>"  "&amp;"纪检监察事务"</f>
        <v>  纪检监察事务</v>
      </c>
      <c r="C19" s="23">
        <v>155581.48</v>
      </c>
      <c r="D19" s="23">
        <v>155581.48</v>
      </c>
      <c r="E19" s="23">
        <v>155581.48</v>
      </c>
      <c r="F19" s="23"/>
      <c r="G19" s="23"/>
      <c r="H19" s="23"/>
      <c r="I19" s="23"/>
      <c r="J19" s="23"/>
      <c r="K19" s="23"/>
      <c r="L19" s="23"/>
      <c r="M19" s="23"/>
      <c r="N19" s="23"/>
      <c r="O19" s="23"/>
    </row>
    <row r="20" ht="18.75" customHeight="1" spans="1:15">
      <c r="A20" s="21" t="str">
        <f>"  "&amp;"2011101"</f>
        <v>  2011101</v>
      </c>
      <c r="B20" s="138" t="str">
        <f t="shared" si="0"/>
        <v>    行政运行</v>
      </c>
      <c r="C20" s="23">
        <v>155581.48</v>
      </c>
      <c r="D20" s="23">
        <v>155581.48</v>
      </c>
      <c r="E20" s="23">
        <v>155581.48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</row>
    <row r="21" ht="18.75" customHeight="1" spans="1:15">
      <c r="A21" s="182" t="str">
        <f>" "&amp;"20129"</f>
        <v> 20129</v>
      </c>
      <c r="B21" s="182" t="str">
        <f>"  "&amp;"群众团体事务"</f>
        <v>  群众团体事务</v>
      </c>
      <c r="C21" s="23">
        <v>6000</v>
      </c>
      <c r="D21" s="23">
        <v>6000</v>
      </c>
      <c r="E21" s="23">
        <v>6000</v>
      </c>
      <c r="F21" s="23"/>
      <c r="G21" s="23"/>
      <c r="H21" s="23"/>
      <c r="I21" s="23"/>
      <c r="J21" s="23"/>
      <c r="K21" s="23"/>
      <c r="L21" s="23"/>
      <c r="M21" s="23"/>
      <c r="N21" s="23"/>
      <c r="O21" s="23"/>
    </row>
    <row r="22" ht="18.75" customHeight="1" spans="1:15">
      <c r="A22" s="21" t="str">
        <f>"  "&amp;"2012901"</f>
        <v>  2012901</v>
      </c>
      <c r="B22" s="138" t="str">
        <f t="shared" si="0"/>
        <v>    行政运行</v>
      </c>
      <c r="C22" s="23">
        <v>6000</v>
      </c>
      <c r="D22" s="23">
        <v>6000</v>
      </c>
      <c r="E22" s="23">
        <v>6000</v>
      </c>
      <c r="F22" s="23"/>
      <c r="G22" s="23"/>
      <c r="H22" s="23"/>
      <c r="I22" s="23"/>
      <c r="J22" s="23"/>
      <c r="K22" s="23"/>
      <c r="L22" s="23"/>
      <c r="M22" s="23"/>
      <c r="N22" s="23"/>
      <c r="O22" s="23"/>
    </row>
    <row r="23" ht="18.75" customHeight="1" spans="1:15">
      <c r="A23" s="182" t="str">
        <f>" "&amp;"20131"</f>
        <v> 20131</v>
      </c>
      <c r="B23" s="182" t="str">
        <f>"  "&amp;"党委办公厅（室）及相关机构事务"</f>
        <v>  党委办公厅（室）及相关机构事务</v>
      </c>
      <c r="C23" s="23">
        <v>867514.76</v>
      </c>
      <c r="D23" s="23">
        <v>867514.76</v>
      </c>
      <c r="E23" s="23">
        <v>867514.76</v>
      </c>
      <c r="F23" s="23"/>
      <c r="G23" s="23"/>
      <c r="H23" s="23"/>
      <c r="I23" s="23"/>
      <c r="J23" s="23"/>
      <c r="K23" s="23"/>
      <c r="L23" s="23"/>
      <c r="M23" s="23"/>
      <c r="N23" s="23"/>
      <c r="O23" s="23"/>
    </row>
    <row r="24" ht="18.75" customHeight="1" spans="1:15">
      <c r="A24" s="21" t="str">
        <f>"  "&amp;"2013101"</f>
        <v>  2013101</v>
      </c>
      <c r="B24" s="138" t="str">
        <f t="shared" si="0"/>
        <v>    行政运行</v>
      </c>
      <c r="C24" s="23">
        <v>867514.76</v>
      </c>
      <c r="D24" s="23">
        <v>867514.76</v>
      </c>
      <c r="E24" s="23">
        <v>867514.76</v>
      </c>
      <c r="F24" s="23"/>
      <c r="G24" s="23"/>
      <c r="H24" s="23"/>
      <c r="I24" s="23"/>
      <c r="J24" s="23"/>
      <c r="K24" s="23"/>
      <c r="L24" s="23"/>
      <c r="M24" s="23"/>
      <c r="N24" s="23"/>
      <c r="O24" s="23"/>
    </row>
    <row r="25" ht="18.75" customHeight="1" spans="1:15">
      <c r="A25" s="182" t="str">
        <f>" "&amp;"20136"</f>
        <v> 20136</v>
      </c>
      <c r="B25" s="182" t="str">
        <f>"  "&amp;"其他共产党事务支出"</f>
        <v>  其他共产党事务支出</v>
      </c>
      <c r="C25" s="23">
        <v>793221.04</v>
      </c>
      <c r="D25" s="23">
        <v>793221.04</v>
      </c>
      <c r="E25" s="23">
        <v>793221.04</v>
      </c>
      <c r="F25" s="23"/>
      <c r="G25" s="23"/>
      <c r="H25" s="23"/>
      <c r="I25" s="23"/>
      <c r="J25" s="23"/>
      <c r="K25" s="23"/>
      <c r="L25" s="23"/>
      <c r="M25" s="23"/>
      <c r="N25" s="23"/>
      <c r="O25" s="23"/>
    </row>
    <row r="26" ht="18.75" customHeight="1" spans="1:15">
      <c r="A26" s="21" t="str">
        <f>"  "&amp;"2013650"</f>
        <v>  2013650</v>
      </c>
      <c r="B26" s="138" t="str">
        <f t="shared" ref="B26:B68" si="2">"    "&amp;"事业运行"</f>
        <v>    事业运行</v>
      </c>
      <c r="C26" s="23">
        <v>793221.04</v>
      </c>
      <c r="D26" s="23">
        <v>793221.04</v>
      </c>
      <c r="E26" s="23">
        <v>793221.04</v>
      </c>
      <c r="F26" s="23"/>
      <c r="G26" s="23"/>
      <c r="H26" s="23"/>
      <c r="I26" s="23"/>
      <c r="J26" s="23"/>
      <c r="K26" s="23"/>
      <c r="L26" s="23"/>
      <c r="M26" s="23"/>
      <c r="N26" s="23"/>
      <c r="O26" s="23"/>
    </row>
    <row r="27" ht="18.75" customHeight="1" spans="1:15">
      <c r="A27" s="182" t="str">
        <f>" "&amp;"20138"</f>
        <v> 20138</v>
      </c>
      <c r="B27" s="182" t="str">
        <f>"  "&amp;"市场监督管理事务"</f>
        <v>  市场监督管理事务</v>
      </c>
      <c r="C27" s="23">
        <v>9600</v>
      </c>
      <c r="D27" s="23">
        <v>9600</v>
      </c>
      <c r="E27" s="23">
        <v>9600</v>
      </c>
      <c r="F27" s="23"/>
      <c r="G27" s="23"/>
      <c r="H27" s="23"/>
      <c r="I27" s="23"/>
      <c r="J27" s="23"/>
      <c r="K27" s="23"/>
      <c r="L27" s="23"/>
      <c r="M27" s="23"/>
      <c r="N27" s="23"/>
      <c r="O27" s="23"/>
    </row>
    <row r="28" ht="18.75" customHeight="1" spans="1:15">
      <c r="A28" s="21" t="str">
        <f>"  "&amp;"2013899"</f>
        <v>  2013899</v>
      </c>
      <c r="B28" s="138" t="str">
        <f>"    "&amp;"其他市场监督管理事务"</f>
        <v>    其他市场监督管理事务</v>
      </c>
      <c r="C28" s="23">
        <v>9600</v>
      </c>
      <c r="D28" s="23">
        <v>9600</v>
      </c>
      <c r="E28" s="23">
        <v>9600</v>
      </c>
      <c r="F28" s="23"/>
      <c r="G28" s="23"/>
      <c r="H28" s="23"/>
      <c r="I28" s="23"/>
      <c r="J28" s="23"/>
      <c r="K28" s="23"/>
      <c r="L28" s="23"/>
      <c r="M28" s="23"/>
      <c r="N28" s="23"/>
      <c r="O28" s="23"/>
    </row>
    <row r="29" ht="18.75" customHeight="1" spans="1:15">
      <c r="A29" s="182" t="str">
        <f>" "&amp;"20139"</f>
        <v> 20139</v>
      </c>
      <c r="B29" s="182" t="str">
        <f>"  "&amp;"社会工作事务"</f>
        <v>  社会工作事务</v>
      </c>
      <c r="C29" s="23">
        <v>247266.48</v>
      </c>
      <c r="D29" s="23">
        <v>247266.48</v>
      </c>
      <c r="E29" s="23">
        <v>247266.48</v>
      </c>
      <c r="F29" s="23"/>
      <c r="G29" s="23"/>
      <c r="H29" s="23"/>
      <c r="I29" s="23"/>
      <c r="J29" s="23"/>
      <c r="K29" s="23"/>
      <c r="L29" s="23"/>
      <c r="M29" s="23"/>
      <c r="N29" s="23"/>
      <c r="O29" s="23"/>
    </row>
    <row r="30" ht="18.75" customHeight="1" spans="1:15">
      <c r="A30" s="21" t="str">
        <f>"  "&amp;"2013901"</f>
        <v>  2013901</v>
      </c>
      <c r="B30" s="138" t="str">
        <f t="shared" si="0"/>
        <v>    行政运行</v>
      </c>
      <c r="C30" s="23">
        <v>247266.48</v>
      </c>
      <c r="D30" s="23">
        <v>247266.48</v>
      </c>
      <c r="E30" s="23">
        <v>247266.48</v>
      </c>
      <c r="F30" s="23"/>
      <c r="G30" s="23"/>
      <c r="H30" s="23"/>
      <c r="I30" s="23"/>
      <c r="J30" s="23"/>
      <c r="K30" s="23"/>
      <c r="L30" s="23"/>
      <c r="M30" s="23"/>
      <c r="N30" s="23"/>
      <c r="O30" s="23"/>
    </row>
    <row r="31" ht="18.75" customHeight="1" spans="1:15">
      <c r="A31" s="182" t="s">
        <v>85</v>
      </c>
      <c r="B31" s="182" t="s">
        <v>86</v>
      </c>
      <c r="C31" s="23">
        <v>15360</v>
      </c>
      <c r="D31" s="23">
        <v>15360</v>
      </c>
      <c r="E31" s="23">
        <v>15360</v>
      </c>
      <c r="F31" s="23"/>
      <c r="G31" s="23"/>
      <c r="H31" s="23"/>
      <c r="I31" s="23"/>
      <c r="J31" s="23"/>
      <c r="K31" s="23"/>
      <c r="L31" s="23"/>
      <c r="M31" s="23"/>
      <c r="N31" s="23"/>
      <c r="O31" s="23"/>
    </row>
    <row r="32" ht="18.75" customHeight="1" spans="1:15">
      <c r="A32" s="182" t="str">
        <f>" "&amp;"20402"</f>
        <v> 20402</v>
      </c>
      <c r="B32" s="182" t="str">
        <f>"  "&amp;"公安"</f>
        <v>  公安</v>
      </c>
      <c r="C32" s="23">
        <v>15360</v>
      </c>
      <c r="D32" s="23">
        <v>15360</v>
      </c>
      <c r="E32" s="23">
        <v>15360</v>
      </c>
      <c r="F32" s="23"/>
      <c r="G32" s="23"/>
      <c r="H32" s="23"/>
      <c r="I32" s="23"/>
      <c r="J32" s="23"/>
      <c r="K32" s="23"/>
      <c r="L32" s="23"/>
      <c r="M32" s="23"/>
      <c r="N32" s="23"/>
      <c r="O32" s="23"/>
    </row>
    <row r="33" ht="18.75" customHeight="1" spans="1:15">
      <c r="A33" s="21" t="str">
        <f>"  "&amp;"2040299"</f>
        <v>  2040299</v>
      </c>
      <c r="B33" s="138" t="str">
        <f>"    "&amp;"其他公安支出"</f>
        <v>    其他公安支出</v>
      </c>
      <c r="C33" s="23">
        <v>15360</v>
      </c>
      <c r="D33" s="23">
        <v>15360</v>
      </c>
      <c r="E33" s="23">
        <v>15360</v>
      </c>
      <c r="F33" s="23"/>
      <c r="G33" s="23"/>
      <c r="H33" s="23"/>
      <c r="I33" s="23"/>
      <c r="J33" s="23"/>
      <c r="K33" s="23"/>
      <c r="L33" s="23"/>
      <c r="M33" s="23"/>
      <c r="N33" s="23"/>
      <c r="O33" s="23"/>
    </row>
    <row r="34" ht="18.75" customHeight="1" spans="1:15">
      <c r="A34" s="182" t="s">
        <v>87</v>
      </c>
      <c r="B34" s="182" t="s">
        <v>88</v>
      </c>
      <c r="C34" s="23">
        <v>48000</v>
      </c>
      <c r="D34" s="23">
        <v>48000</v>
      </c>
      <c r="E34" s="23">
        <v>48000</v>
      </c>
      <c r="F34" s="23"/>
      <c r="G34" s="23"/>
      <c r="H34" s="23"/>
      <c r="I34" s="23"/>
      <c r="J34" s="23"/>
      <c r="K34" s="23"/>
      <c r="L34" s="23"/>
      <c r="M34" s="23"/>
      <c r="N34" s="23"/>
      <c r="O34" s="23"/>
    </row>
    <row r="35" ht="18.75" customHeight="1" spans="1:15">
      <c r="A35" s="182" t="str">
        <f>" "&amp;"20701"</f>
        <v> 20701</v>
      </c>
      <c r="B35" s="182" t="str">
        <f>"  "&amp;"文化和旅游"</f>
        <v>  文化和旅游</v>
      </c>
      <c r="C35" s="23">
        <v>48000</v>
      </c>
      <c r="D35" s="23">
        <v>48000</v>
      </c>
      <c r="E35" s="23">
        <v>48000</v>
      </c>
      <c r="F35" s="23"/>
      <c r="G35" s="23"/>
      <c r="H35" s="23"/>
      <c r="I35" s="23"/>
      <c r="J35" s="23"/>
      <c r="K35" s="23"/>
      <c r="L35" s="23"/>
      <c r="M35" s="23"/>
      <c r="N35" s="23"/>
      <c r="O35" s="23"/>
    </row>
    <row r="36" ht="18.75" customHeight="1" spans="1:15">
      <c r="A36" s="21" t="str">
        <f>"  "&amp;"2070199"</f>
        <v>  2070199</v>
      </c>
      <c r="B36" s="138" t="str">
        <f>"    "&amp;"其他文化和旅游支出"</f>
        <v>    其他文化和旅游支出</v>
      </c>
      <c r="C36" s="23">
        <v>48000</v>
      </c>
      <c r="D36" s="23">
        <v>48000</v>
      </c>
      <c r="E36" s="23">
        <v>48000</v>
      </c>
      <c r="F36" s="23"/>
      <c r="G36" s="23"/>
      <c r="H36" s="23"/>
      <c r="I36" s="23"/>
      <c r="J36" s="23"/>
      <c r="K36" s="23"/>
      <c r="L36" s="23"/>
      <c r="M36" s="23"/>
      <c r="N36" s="23"/>
      <c r="O36" s="23"/>
    </row>
    <row r="37" ht="18.75" customHeight="1" spans="1:15">
      <c r="A37" s="182" t="s">
        <v>89</v>
      </c>
      <c r="B37" s="182" t="s">
        <v>90</v>
      </c>
      <c r="C37" s="23">
        <v>1434854.52</v>
      </c>
      <c r="D37" s="23">
        <v>1434854.52</v>
      </c>
      <c r="E37" s="23">
        <v>1434854.52</v>
      </c>
      <c r="F37" s="23"/>
      <c r="G37" s="23"/>
      <c r="H37" s="23"/>
      <c r="I37" s="23"/>
      <c r="J37" s="23"/>
      <c r="K37" s="23"/>
      <c r="L37" s="23"/>
      <c r="M37" s="23"/>
      <c r="N37" s="23"/>
      <c r="O37" s="23"/>
    </row>
    <row r="38" ht="18.75" customHeight="1" spans="1:15">
      <c r="A38" s="182" t="str">
        <f>" "&amp;"20801"</f>
        <v> 20801</v>
      </c>
      <c r="B38" s="182" t="str">
        <f>"  "&amp;"人力资源和社会保障管理事务"</f>
        <v>  人力资源和社会保障管理事务</v>
      </c>
      <c r="C38" s="23">
        <v>169920</v>
      </c>
      <c r="D38" s="23">
        <v>169920</v>
      </c>
      <c r="E38" s="23">
        <v>169920</v>
      </c>
      <c r="F38" s="23"/>
      <c r="G38" s="23"/>
      <c r="H38" s="23"/>
      <c r="I38" s="23"/>
      <c r="J38" s="23"/>
      <c r="K38" s="23"/>
      <c r="L38" s="23"/>
      <c r="M38" s="23"/>
      <c r="N38" s="23"/>
      <c r="O38" s="23"/>
    </row>
    <row r="39" ht="18.75" customHeight="1" spans="1:15">
      <c r="A39" s="21" t="str">
        <f>"  "&amp;"2080199"</f>
        <v>  2080199</v>
      </c>
      <c r="B39" s="138" t="str">
        <f>"    "&amp;"其他人力资源和社会保障管理事务支出"</f>
        <v>    其他人力资源和社会保障管理事务支出</v>
      </c>
      <c r="C39" s="23">
        <v>169920</v>
      </c>
      <c r="D39" s="23">
        <v>169920</v>
      </c>
      <c r="E39" s="23">
        <v>169920</v>
      </c>
      <c r="F39" s="23"/>
      <c r="G39" s="23"/>
      <c r="H39" s="23"/>
      <c r="I39" s="23"/>
      <c r="J39" s="23"/>
      <c r="K39" s="23"/>
      <c r="L39" s="23"/>
      <c r="M39" s="23"/>
      <c r="N39" s="23"/>
      <c r="O39" s="23"/>
    </row>
    <row r="40" ht="18.75" customHeight="1" spans="1:15">
      <c r="A40" s="182" t="str">
        <f>" "&amp;"20805"</f>
        <v> 20805</v>
      </c>
      <c r="B40" s="182" t="str">
        <f>"  "&amp;"行政事业单位养老支出"</f>
        <v>  行政事业单位养老支出</v>
      </c>
      <c r="C40" s="23">
        <v>1118423.64</v>
      </c>
      <c r="D40" s="23">
        <v>1118423.64</v>
      </c>
      <c r="E40" s="23">
        <v>1118423.64</v>
      </c>
      <c r="F40" s="23"/>
      <c r="G40" s="23"/>
      <c r="H40" s="23"/>
      <c r="I40" s="23"/>
      <c r="J40" s="23"/>
      <c r="K40" s="23"/>
      <c r="L40" s="23"/>
      <c r="M40" s="23"/>
      <c r="N40" s="23"/>
      <c r="O40" s="23"/>
    </row>
    <row r="41" ht="18.75" customHeight="1" spans="1:15">
      <c r="A41" s="21" t="str">
        <f>"  "&amp;"2080501"</f>
        <v>  2080501</v>
      </c>
      <c r="B41" s="138" t="str">
        <f>"    "&amp;"行政单位离退休"</f>
        <v>    行政单位离退休</v>
      </c>
      <c r="C41" s="23">
        <v>320890.2</v>
      </c>
      <c r="D41" s="23">
        <v>320890.2</v>
      </c>
      <c r="E41" s="23">
        <v>320890.2</v>
      </c>
      <c r="F41" s="23"/>
      <c r="G41" s="23"/>
      <c r="H41" s="23"/>
      <c r="I41" s="23"/>
      <c r="J41" s="23"/>
      <c r="K41" s="23"/>
      <c r="L41" s="23"/>
      <c r="M41" s="23"/>
      <c r="N41" s="23"/>
      <c r="O41" s="23"/>
    </row>
    <row r="42" ht="18.75" customHeight="1" spans="1:15">
      <c r="A42" s="21" t="str">
        <f>"  "&amp;"2080505"</f>
        <v>  2080505</v>
      </c>
      <c r="B42" s="138" t="str">
        <f>"    "&amp;"机关事业单位基本养老保险缴费支出"</f>
        <v>    机关事业单位基本养老保险缴费支出</v>
      </c>
      <c r="C42" s="23">
        <v>797533.44</v>
      </c>
      <c r="D42" s="23">
        <v>797533.44</v>
      </c>
      <c r="E42" s="23">
        <v>797533.44</v>
      </c>
      <c r="F42" s="23"/>
      <c r="G42" s="23"/>
      <c r="H42" s="23"/>
      <c r="I42" s="23"/>
      <c r="J42" s="23"/>
      <c r="K42" s="23"/>
      <c r="L42" s="23"/>
      <c r="M42" s="23"/>
      <c r="N42" s="23"/>
      <c r="O42" s="23"/>
    </row>
    <row r="43" ht="18.75" customHeight="1" spans="1:15">
      <c r="A43" s="21" t="str">
        <f>"  "&amp;"2080506"</f>
        <v>  2080506</v>
      </c>
      <c r="B43" s="138" t="str">
        <f>"    "&amp;"机关事业单位职业年金缴费支出"</f>
        <v>    机关事业单位职业年金缴费支出</v>
      </c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</row>
    <row r="44" ht="18.75" customHeight="1" spans="1:15">
      <c r="A44" s="182" t="str">
        <f>" "&amp;"20808"</f>
        <v> 20808</v>
      </c>
      <c r="B44" s="182" t="str">
        <f>"  "&amp;"抚恤"</f>
        <v>  抚恤</v>
      </c>
      <c r="C44" s="23">
        <v>112910.88</v>
      </c>
      <c r="D44" s="23">
        <v>112910.88</v>
      </c>
      <c r="E44" s="23">
        <v>112910.88</v>
      </c>
      <c r="F44" s="23"/>
      <c r="G44" s="23"/>
      <c r="H44" s="23"/>
      <c r="I44" s="23"/>
      <c r="J44" s="23"/>
      <c r="K44" s="23"/>
      <c r="L44" s="23"/>
      <c r="M44" s="23"/>
      <c r="N44" s="23"/>
      <c r="O44" s="23"/>
    </row>
    <row r="45" ht="18.75" customHeight="1" spans="1:15">
      <c r="A45" s="21" t="str">
        <f>"  "&amp;"2080801"</f>
        <v>  2080801</v>
      </c>
      <c r="B45" s="138" t="str">
        <f>"    "&amp;"死亡抚恤"</f>
        <v>    死亡抚恤</v>
      </c>
      <c r="C45" s="23">
        <v>112910.88</v>
      </c>
      <c r="D45" s="23">
        <v>112910.88</v>
      </c>
      <c r="E45" s="23">
        <v>112910.88</v>
      </c>
      <c r="F45" s="23"/>
      <c r="G45" s="23"/>
      <c r="H45" s="23"/>
      <c r="I45" s="23"/>
      <c r="J45" s="23"/>
      <c r="K45" s="23"/>
      <c r="L45" s="23"/>
      <c r="M45" s="23"/>
      <c r="N45" s="23"/>
      <c r="O45" s="23"/>
    </row>
    <row r="46" ht="18.75" customHeight="1" spans="1:15">
      <c r="A46" s="182" t="str">
        <f>" "&amp;"20811"</f>
        <v> 20811</v>
      </c>
      <c r="B46" s="182" t="str">
        <f>"  "&amp;"残疾人事业"</f>
        <v>  残疾人事业</v>
      </c>
      <c r="C46" s="23">
        <v>14400</v>
      </c>
      <c r="D46" s="23">
        <v>14400</v>
      </c>
      <c r="E46" s="23">
        <v>14400</v>
      </c>
      <c r="F46" s="23"/>
      <c r="G46" s="23"/>
      <c r="H46" s="23"/>
      <c r="I46" s="23"/>
      <c r="J46" s="23"/>
      <c r="K46" s="23"/>
      <c r="L46" s="23"/>
      <c r="M46" s="23"/>
      <c r="N46" s="23"/>
      <c r="O46" s="23"/>
    </row>
    <row r="47" ht="18.75" customHeight="1" spans="1:15">
      <c r="A47" s="21" t="str">
        <f>"  "&amp;"2081199"</f>
        <v>  2081199</v>
      </c>
      <c r="B47" s="138" t="str">
        <f>"    "&amp;"其他残疾人事业支出"</f>
        <v>    其他残疾人事业支出</v>
      </c>
      <c r="C47" s="23">
        <v>14400</v>
      </c>
      <c r="D47" s="23">
        <v>14400</v>
      </c>
      <c r="E47" s="23">
        <v>14400</v>
      </c>
      <c r="F47" s="23"/>
      <c r="G47" s="23"/>
      <c r="H47" s="23"/>
      <c r="I47" s="23"/>
      <c r="J47" s="23"/>
      <c r="K47" s="23"/>
      <c r="L47" s="23"/>
      <c r="M47" s="23"/>
      <c r="N47" s="23"/>
      <c r="O47" s="23"/>
    </row>
    <row r="48" ht="18.75" customHeight="1" spans="1:15">
      <c r="A48" s="182" t="str">
        <f>" "&amp;"20825"</f>
        <v> 20825</v>
      </c>
      <c r="B48" s="182" t="str">
        <f>"  "&amp;"其他生活救助"</f>
        <v>  其他生活救助</v>
      </c>
      <c r="C48" s="23">
        <v>19200</v>
      </c>
      <c r="D48" s="23">
        <v>19200</v>
      </c>
      <c r="E48" s="23">
        <v>19200</v>
      </c>
      <c r="F48" s="23"/>
      <c r="G48" s="23"/>
      <c r="H48" s="23"/>
      <c r="I48" s="23"/>
      <c r="J48" s="23"/>
      <c r="K48" s="23"/>
      <c r="L48" s="23"/>
      <c r="M48" s="23"/>
      <c r="N48" s="23"/>
      <c r="O48" s="23"/>
    </row>
    <row r="49" ht="18.75" customHeight="1" spans="1:15">
      <c r="A49" s="21" t="str">
        <f>"  "&amp;"2082502"</f>
        <v>  2082502</v>
      </c>
      <c r="B49" s="138" t="str">
        <f>"    "&amp;"其他农村生活救助"</f>
        <v>    其他农村生活救助</v>
      </c>
      <c r="C49" s="23">
        <v>19200</v>
      </c>
      <c r="D49" s="23">
        <v>19200</v>
      </c>
      <c r="E49" s="23">
        <v>19200</v>
      </c>
      <c r="F49" s="23"/>
      <c r="G49" s="23"/>
      <c r="H49" s="23"/>
      <c r="I49" s="23"/>
      <c r="J49" s="23"/>
      <c r="K49" s="23"/>
      <c r="L49" s="23"/>
      <c r="M49" s="23"/>
      <c r="N49" s="23"/>
      <c r="O49" s="23"/>
    </row>
    <row r="50" ht="18.75" customHeight="1" spans="1:15">
      <c r="A50" s="182" t="s">
        <v>91</v>
      </c>
      <c r="B50" s="182" t="s">
        <v>92</v>
      </c>
      <c r="C50" s="23">
        <v>489298.64</v>
      </c>
      <c r="D50" s="23">
        <v>489298.64</v>
      </c>
      <c r="E50" s="23">
        <v>489298.64</v>
      </c>
      <c r="F50" s="23"/>
      <c r="G50" s="23"/>
      <c r="H50" s="23"/>
      <c r="I50" s="23"/>
      <c r="J50" s="23"/>
      <c r="K50" s="23"/>
      <c r="L50" s="23"/>
      <c r="M50" s="23"/>
      <c r="N50" s="23"/>
      <c r="O50" s="23"/>
    </row>
    <row r="51" ht="18.75" customHeight="1" spans="1:15">
      <c r="A51" s="182" t="str">
        <f>" "&amp;"21007"</f>
        <v> 21007</v>
      </c>
      <c r="B51" s="182" t="str">
        <f>"  "&amp;"计划生育事务"</f>
        <v>  计划生育事务</v>
      </c>
      <c r="C51" s="23">
        <v>109920</v>
      </c>
      <c r="D51" s="23">
        <v>109920</v>
      </c>
      <c r="E51" s="23">
        <v>109920</v>
      </c>
      <c r="F51" s="23"/>
      <c r="G51" s="23"/>
      <c r="H51" s="23"/>
      <c r="I51" s="23"/>
      <c r="J51" s="23"/>
      <c r="K51" s="23"/>
      <c r="L51" s="23"/>
      <c r="M51" s="23"/>
      <c r="N51" s="23"/>
      <c r="O51" s="23"/>
    </row>
    <row r="52" ht="18.75" customHeight="1" spans="1:15">
      <c r="A52" s="21" t="str">
        <f>"  "&amp;"2100799"</f>
        <v>  2100799</v>
      </c>
      <c r="B52" s="138" t="str">
        <f>"    "&amp;"其他计划生育事务支出"</f>
        <v>    其他计划生育事务支出</v>
      </c>
      <c r="C52" s="23">
        <v>109920</v>
      </c>
      <c r="D52" s="23">
        <v>109920</v>
      </c>
      <c r="E52" s="23">
        <v>109920</v>
      </c>
      <c r="F52" s="23"/>
      <c r="G52" s="23"/>
      <c r="H52" s="23"/>
      <c r="I52" s="23"/>
      <c r="J52" s="23"/>
      <c r="K52" s="23"/>
      <c r="L52" s="23"/>
      <c r="M52" s="23"/>
      <c r="N52" s="23"/>
      <c r="O52" s="23"/>
    </row>
    <row r="53" ht="18.75" customHeight="1" spans="1:15">
      <c r="A53" s="182" t="str">
        <f>" "&amp;"21011"</f>
        <v> 21011</v>
      </c>
      <c r="B53" s="182" t="str">
        <f>"  "&amp;"行政事业单位医疗"</f>
        <v>  行政事业单位医疗</v>
      </c>
      <c r="C53" s="23">
        <v>379378.64</v>
      </c>
      <c r="D53" s="23">
        <v>379378.64</v>
      </c>
      <c r="E53" s="23">
        <v>379378.64</v>
      </c>
      <c r="F53" s="23"/>
      <c r="G53" s="23"/>
      <c r="H53" s="23"/>
      <c r="I53" s="23"/>
      <c r="J53" s="23"/>
      <c r="K53" s="23"/>
      <c r="L53" s="23"/>
      <c r="M53" s="23"/>
      <c r="N53" s="23"/>
      <c r="O53" s="23"/>
    </row>
    <row r="54" ht="18.75" customHeight="1" spans="1:15">
      <c r="A54" s="21" t="str">
        <f>"  "&amp;"2101101"</f>
        <v>  2101101</v>
      </c>
      <c r="B54" s="138" t="str">
        <f>"    "&amp;"行政单位医疗"</f>
        <v>    行政单位医疗</v>
      </c>
      <c r="C54" s="23">
        <v>171795.58</v>
      </c>
      <c r="D54" s="23">
        <v>171795.58</v>
      </c>
      <c r="E54" s="23">
        <v>171795.58</v>
      </c>
      <c r="F54" s="23"/>
      <c r="G54" s="23"/>
      <c r="H54" s="23"/>
      <c r="I54" s="23"/>
      <c r="J54" s="23"/>
      <c r="K54" s="23"/>
      <c r="L54" s="23"/>
      <c r="M54" s="23"/>
      <c r="N54" s="23"/>
      <c r="O54" s="23"/>
    </row>
    <row r="55" ht="18.75" customHeight="1" spans="1:15">
      <c r="A55" s="21" t="str">
        <f>"  "&amp;"2101102"</f>
        <v>  2101102</v>
      </c>
      <c r="B55" s="138" t="str">
        <f>"    "&amp;"事业单位医疗"</f>
        <v>    事业单位医疗</v>
      </c>
      <c r="C55" s="23">
        <v>182109.89</v>
      </c>
      <c r="D55" s="23">
        <v>182109.89</v>
      </c>
      <c r="E55" s="23">
        <v>182109.89</v>
      </c>
      <c r="F55" s="23"/>
      <c r="G55" s="23"/>
      <c r="H55" s="23"/>
      <c r="I55" s="23"/>
      <c r="J55" s="23"/>
      <c r="K55" s="23"/>
      <c r="L55" s="23"/>
      <c r="M55" s="23"/>
      <c r="N55" s="23"/>
      <c r="O55" s="23"/>
    </row>
    <row r="56" ht="18.75" customHeight="1" spans="1:15">
      <c r="A56" s="21" t="str">
        <f>"  "&amp;"2101103"</f>
        <v>  2101103</v>
      </c>
      <c r="B56" s="138" t="str">
        <f>"    "&amp;"公务员医疗补助"</f>
        <v>    公务员医疗补助</v>
      </c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</row>
    <row r="57" ht="18.75" customHeight="1" spans="1:15">
      <c r="A57" s="21" t="str">
        <f>"  "&amp;"2101199"</f>
        <v>  2101199</v>
      </c>
      <c r="B57" s="138" t="str">
        <f>"    "&amp;"其他行政事业单位医疗支出"</f>
        <v>    其他行政事业单位医疗支出</v>
      </c>
      <c r="C57" s="23">
        <v>25473.17</v>
      </c>
      <c r="D57" s="23">
        <v>25473.17</v>
      </c>
      <c r="E57" s="23">
        <v>25473.17</v>
      </c>
      <c r="F57" s="23"/>
      <c r="G57" s="23"/>
      <c r="H57" s="23"/>
      <c r="I57" s="23"/>
      <c r="J57" s="23"/>
      <c r="K57" s="23"/>
      <c r="L57" s="23"/>
      <c r="M57" s="23"/>
      <c r="N57" s="23"/>
      <c r="O57" s="23"/>
    </row>
    <row r="58" ht="18.75" customHeight="1" spans="1:15">
      <c r="A58" s="182" t="s">
        <v>93</v>
      </c>
      <c r="B58" s="182" t="s">
        <v>94</v>
      </c>
      <c r="C58" s="23">
        <v>165000</v>
      </c>
      <c r="D58" s="23">
        <v>165000</v>
      </c>
      <c r="E58" s="23"/>
      <c r="F58" s="23">
        <v>165000</v>
      </c>
      <c r="G58" s="23"/>
      <c r="H58" s="23"/>
      <c r="I58" s="23"/>
      <c r="J58" s="23"/>
      <c r="K58" s="23"/>
      <c r="L58" s="23"/>
      <c r="M58" s="23"/>
      <c r="N58" s="23"/>
      <c r="O58" s="23"/>
    </row>
    <row r="59" ht="18.75" customHeight="1" spans="1:15">
      <c r="A59" s="182" t="str">
        <f>" "&amp;"21104"</f>
        <v> 21104</v>
      </c>
      <c r="B59" s="182" t="str">
        <f>"  "&amp;"自然生态保护"</f>
        <v>  自然生态保护</v>
      </c>
      <c r="C59" s="23">
        <v>165000</v>
      </c>
      <c r="D59" s="23">
        <v>165000</v>
      </c>
      <c r="E59" s="23"/>
      <c r="F59" s="23">
        <v>165000</v>
      </c>
      <c r="G59" s="23"/>
      <c r="H59" s="23"/>
      <c r="I59" s="23"/>
      <c r="J59" s="23"/>
      <c r="K59" s="23"/>
      <c r="L59" s="23"/>
      <c r="M59" s="23"/>
      <c r="N59" s="23"/>
      <c r="O59" s="23"/>
    </row>
    <row r="60" ht="18.75" customHeight="1" spans="1:15">
      <c r="A60" s="21" t="str">
        <f>"  "&amp;"2110402"</f>
        <v>  2110402</v>
      </c>
      <c r="B60" s="138" t="str">
        <f>"    "&amp;"农村环境保护"</f>
        <v>    农村环境保护</v>
      </c>
      <c r="C60" s="23">
        <v>165000</v>
      </c>
      <c r="D60" s="23">
        <v>165000</v>
      </c>
      <c r="E60" s="23"/>
      <c r="F60" s="23">
        <v>165000</v>
      </c>
      <c r="G60" s="23"/>
      <c r="H60" s="23"/>
      <c r="I60" s="23"/>
      <c r="J60" s="23"/>
      <c r="K60" s="23"/>
      <c r="L60" s="23"/>
      <c r="M60" s="23"/>
      <c r="N60" s="23"/>
      <c r="O60" s="23"/>
    </row>
    <row r="61" ht="18.75" customHeight="1" spans="1:15">
      <c r="A61" s="182" t="s">
        <v>95</v>
      </c>
      <c r="B61" s="182" t="s">
        <v>96</v>
      </c>
      <c r="C61" s="23">
        <v>941044.24</v>
      </c>
      <c r="D61" s="23">
        <v>941044.24</v>
      </c>
      <c r="E61" s="23">
        <v>941044.24</v>
      </c>
      <c r="F61" s="23"/>
      <c r="G61" s="23"/>
      <c r="H61" s="23"/>
      <c r="I61" s="23"/>
      <c r="J61" s="23"/>
      <c r="K61" s="23"/>
      <c r="L61" s="23"/>
      <c r="M61" s="23"/>
      <c r="N61" s="23"/>
      <c r="O61" s="23"/>
    </row>
    <row r="62" ht="18.75" customHeight="1" spans="1:15">
      <c r="A62" s="182" t="str">
        <f>" "&amp;"21201"</f>
        <v> 21201</v>
      </c>
      <c r="B62" s="182" t="str">
        <f>"  "&amp;"城乡社区管理事务"</f>
        <v>  城乡社区管理事务</v>
      </c>
      <c r="C62" s="23">
        <v>771124.24</v>
      </c>
      <c r="D62" s="23">
        <v>771124.24</v>
      </c>
      <c r="E62" s="23">
        <v>771124.24</v>
      </c>
      <c r="F62" s="23"/>
      <c r="G62" s="23"/>
      <c r="H62" s="23"/>
      <c r="I62" s="23"/>
      <c r="J62" s="23"/>
      <c r="K62" s="23"/>
      <c r="L62" s="23"/>
      <c r="M62" s="23"/>
      <c r="N62" s="23"/>
      <c r="O62" s="23"/>
    </row>
    <row r="63" ht="18.75" customHeight="1" spans="1:15">
      <c r="A63" s="21" t="str">
        <f>"  "&amp;"2120104"</f>
        <v>  2120104</v>
      </c>
      <c r="B63" s="138" t="str">
        <f>"    "&amp;"城管执法"</f>
        <v>    城管执法</v>
      </c>
      <c r="C63" s="23">
        <v>771124.24</v>
      </c>
      <c r="D63" s="23">
        <v>771124.24</v>
      </c>
      <c r="E63" s="23">
        <v>771124.24</v>
      </c>
      <c r="F63" s="23"/>
      <c r="G63" s="23"/>
      <c r="H63" s="23"/>
      <c r="I63" s="23"/>
      <c r="J63" s="23"/>
      <c r="K63" s="23"/>
      <c r="L63" s="23"/>
      <c r="M63" s="23"/>
      <c r="N63" s="23"/>
      <c r="O63" s="23"/>
    </row>
    <row r="64" ht="18.75" customHeight="1" spans="1:15">
      <c r="A64" s="182" t="str">
        <f>" "&amp;"21202"</f>
        <v> 21202</v>
      </c>
      <c r="B64" s="182" t="str">
        <f>"  "&amp;"城乡社区规划与管理"</f>
        <v>  城乡社区规划与管理</v>
      </c>
      <c r="C64" s="23">
        <v>169920</v>
      </c>
      <c r="D64" s="23">
        <v>169920</v>
      </c>
      <c r="E64" s="23">
        <v>169920</v>
      </c>
      <c r="F64" s="23"/>
      <c r="G64" s="23"/>
      <c r="H64" s="23"/>
      <c r="I64" s="23"/>
      <c r="J64" s="23"/>
      <c r="K64" s="23"/>
      <c r="L64" s="23"/>
      <c r="M64" s="23"/>
      <c r="N64" s="23"/>
      <c r="O64" s="23"/>
    </row>
    <row r="65" ht="18.75" customHeight="1" spans="1:15">
      <c r="A65" s="21" t="str">
        <f>"  "&amp;"2120201"</f>
        <v>  2120201</v>
      </c>
      <c r="B65" s="138" t="str">
        <f>"    "&amp;"城乡社区规划与管理"</f>
        <v>    城乡社区规划与管理</v>
      </c>
      <c r="C65" s="23">
        <v>169920</v>
      </c>
      <c r="D65" s="23">
        <v>169920</v>
      </c>
      <c r="E65" s="23">
        <v>169920</v>
      </c>
      <c r="F65" s="23"/>
      <c r="G65" s="23"/>
      <c r="H65" s="23"/>
      <c r="I65" s="23"/>
      <c r="J65" s="23"/>
      <c r="K65" s="23"/>
      <c r="L65" s="23"/>
      <c r="M65" s="23"/>
      <c r="N65" s="23"/>
      <c r="O65" s="23"/>
    </row>
    <row r="66" ht="18.75" customHeight="1" spans="1:15">
      <c r="A66" s="182" t="s">
        <v>97</v>
      </c>
      <c r="B66" s="182" t="s">
        <v>98</v>
      </c>
      <c r="C66" s="23">
        <v>2261600.78</v>
      </c>
      <c r="D66" s="23">
        <v>2261600.78</v>
      </c>
      <c r="E66" s="23">
        <v>1949600.78</v>
      </c>
      <c r="F66" s="23">
        <v>312000</v>
      </c>
      <c r="G66" s="23"/>
      <c r="H66" s="23"/>
      <c r="I66" s="23"/>
      <c r="J66" s="23"/>
      <c r="K66" s="23"/>
      <c r="L66" s="23"/>
      <c r="M66" s="23"/>
      <c r="N66" s="23"/>
      <c r="O66" s="23"/>
    </row>
    <row r="67" ht="18.75" customHeight="1" spans="1:15">
      <c r="A67" s="182" t="str">
        <f>" "&amp;"21301"</f>
        <v> 21301</v>
      </c>
      <c r="B67" s="182" t="str">
        <f>"  "&amp;"农业农村"</f>
        <v>  农业农村</v>
      </c>
      <c r="C67" s="23">
        <v>2191600.78</v>
      </c>
      <c r="D67" s="23">
        <v>2191600.78</v>
      </c>
      <c r="E67" s="23">
        <v>1949600.78</v>
      </c>
      <c r="F67" s="23">
        <v>242000</v>
      </c>
      <c r="G67" s="23"/>
      <c r="H67" s="23"/>
      <c r="I67" s="23"/>
      <c r="J67" s="23"/>
      <c r="K67" s="23"/>
      <c r="L67" s="23"/>
      <c r="M67" s="23"/>
      <c r="N67" s="23"/>
      <c r="O67" s="23"/>
    </row>
    <row r="68" ht="18.75" customHeight="1" spans="1:15">
      <c r="A68" s="21" t="str">
        <f>"  "&amp;"2130104"</f>
        <v>  2130104</v>
      </c>
      <c r="B68" s="138" t="str">
        <f t="shared" si="2"/>
        <v>    事业运行</v>
      </c>
      <c r="C68" s="23">
        <v>1949600.78</v>
      </c>
      <c r="D68" s="23">
        <v>1949600.78</v>
      </c>
      <c r="E68" s="23">
        <v>1949600.78</v>
      </c>
      <c r="F68" s="23"/>
      <c r="G68" s="23"/>
      <c r="H68" s="23"/>
      <c r="I68" s="23"/>
      <c r="J68" s="23"/>
      <c r="K68" s="23"/>
      <c r="L68" s="23"/>
      <c r="M68" s="23"/>
      <c r="N68" s="23"/>
      <c r="O68" s="23"/>
    </row>
    <row r="69" ht="18.75" customHeight="1" spans="1:15">
      <c r="A69" s="21" t="str">
        <f>"  "&amp;"2130126"</f>
        <v>  2130126</v>
      </c>
      <c r="B69" s="138" t="str">
        <f>"    "&amp;"农村社会事业"</f>
        <v>    农村社会事业</v>
      </c>
      <c r="C69" s="23">
        <v>50000</v>
      </c>
      <c r="D69" s="23">
        <v>50000</v>
      </c>
      <c r="E69" s="23"/>
      <c r="F69" s="23">
        <v>50000</v>
      </c>
      <c r="G69" s="23"/>
      <c r="H69" s="23"/>
      <c r="I69" s="23"/>
      <c r="J69" s="23"/>
      <c r="K69" s="23"/>
      <c r="L69" s="23"/>
      <c r="M69" s="23"/>
      <c r="N69" s="23"/>
      <c r="O69" s="23"/>
    </row>
    <row r="70" ht="18.75" customHeight="1" spans="1:15">
      <c r="A70" s="21" t="str">
        <f>"  "&amp;"2130199"</f>
        <v>  2130199</v>
      </c>
      <c r="B70" s="138" t="str">
        <f>"    "&amp;"其他农业农村支出"</f>
        <v>    其他农业农村支出</v>
      </c>
      <c r="C70" s="23">
        <v>192000</v>
      </c>
      <c r="D70" s="23">
        <v>192000</v>
      </c>
      <c r="E70" s="23"/>
      <c r="F70" s="23">
        <v>192000</v>
      </c>
      <c r="G70" s="23"/>
      <c r="H70" s="23"/>
      <c r="I70" s="23"/>
      <c r="J70" s="23"/>
      <c r="K70" s="23"/>
      <c r="L70" s="23"/>
      <c r="M70" s="23"/>
      <c r="N70" s="23"/>
      <c r="O70" s="23"/>
    </row>
    <row r="71" ht="18.75" customHeight="1" spans="1:15">
      <c r="A71" s="182" t="str">
        <f>" "&amp;"21305"</f>
        <v> 21305</v>
      </c>
      <c r="B71" s="182" t="str">
        <f>"  "&amp;"巩固脱贫攻坚成果衔接乡村振兴"</f>
        <v>  巩固脱贫攻坚成果衔接乡村振兴</v>
      </c>
      <c r="C71" s="23">
        <v>70000</v>
      </c>
      <c r="D71" s="23">
        <v>70000</v>
      </c>
      <c r="E71" s="23"/>
      <c r="F71" s="23">
        <v>70000</v>
      </c>
      <c r="G71" s="23"/>
      <c r="H71" s="23"/>
      <c r="I71" s="23"/>
      <c r="J71" s="23"/>
      <c r="K71" s="23"/>
      <c r="L71" s="23"/>
      <c r="M71" s="23"/>
      <c r="N71" s="23"/>
      <c r="O71" s="23"/>
    </row>
    <row r="72" ht="18.75" customHeight="1" spans="1:15">
      <c r="A72" s="21" t="str">
        <f>"  "&amp;"2130504"</f>
        <v>  2130504</v>
      </c>
      <c r="B72" s="138" t="str">
        <f>"    "&amp;"农村基础设施建设"</f>
        <v>    农村基础设施建设</v>
      </c>
      <c r="C72" s="23">
        <v>70000</v>
      </c>
      <c r="D72" s="23">
        <v>70000</v>
      </c>
      <c r="E72" s="23"/>
      <c r="F72" s="23">
        <v>70000</v>
      </c>
      <c r="G72" s="23"/>
      <c r="H72" s="23"/>
      <c r="I72" s="23"/>
      <c r="J72" s="23"/>
      <c r="K72" s="23"/>
      <c r="L72" s="23"/>
      <c r="M72" s="23"/>
      <c r="N72" s="23"/>
      <c r="O72" s="23"/>
    </row>
    <row r="73" ht="18.75" customHeight="1" spans="1:15">
      <c r="A73" s="182" t="s">
        <v>99</v>
      </c>
      <c r="B73" s="182" t="s">
        <v>100</v>
      </c>
      <c r="C73" s="23">
        <v>598150.08</v>
      </c>
      <c r="D73" s="23">
        <v>598150.08</v>
      </c>
      <c r="E73" s="23">
        <v>598150.08</v>
      </c>
      <c r="F73" s="23"/>
      <c r="G73" s="23"/>
      <c r="H73" s="23"/>
      <c r="I73" s="23"/>
      <c r="J73" s="23"/>
      <c r="K73" s="23"/>
      <c r="L73" s="23"/>
      <c r="M73" s="23"/>
      <c r="N73" s="23"/>
      <c r="O73" s="23"/>
    </row>
    <row r="74" ht="18.75" customHeight="1" spans="1:15">
      <c r="A74" s="182" t="str">
        <f>" "&amp;"22102"</f>
        <v> 22102</v>
      </c>
      <c r="B74" s="182" t="str">
        <f>"  "&amp;"住房改革支出"</f>
        <v>  住房改革支出</v>
      </c>
      <c r="C74" s="23">
        <v>598150.08</v>
      </c>
      <c r="D74" s="23">
        <v>598150.08</v>
      </c>
      <c r="E74" s="23">
        <v>598150.08</v>
      </c>
      <c r="F74" s="23"/>
      <c r="G74" s="23"/>
      <c r="H74" s="23"/>
      <c r="I74" s="23"/>
      <c r="J74" s="23"/>
      <c r="K74" s="23"/>
      <c r="L74" s="23"/>
      <c r="M74" s="23"/>
      <c r="N74" s="23"/>
      <c r="O74" s="23"/>
    </row>
    <row r="75" ht="18.75" customHeight="1" spans="1:15">
      <c r="A75" s="21" t="str">
        <f>"  "&amp;"2210201"</f>
        <v>  2210201</v>
      </c>
      <c r="B75" s="138" t="str">
        <f>"    "&amp;"住房公积金"</f>
        <v>    住房公积金</v>
      </c>
      <c r="C75" s="23">
        <v>598150.08</v>
      </c>
      <c r="D75" s="23">
        <v>598150.08</v>
      </c>
      <c r="E75" s="23">
        <v>598150.08</v>
      </c>
      <c r="F75" s="23"/>
      <c r="G75" s="23"/>
      <c r="H75" s="23"/>
      <c r="I75" s="23"/>
      <c r="J75" s="23"/>
      <c r="K75" s="23"/>
      <c r="L75" s="23"/>
      <c r="M75" s="23"/>
      <c r="N75" s="23"/>
      <c r="O75" s="23"/>
    </row>
    <row r="76" ht="18.75" customHeight="1" spans="1:15">
      <c r="A76" s="182" t="s">
        <v>101</v>
      </c>
      <c r="B76" s="182" t="s">
        <v>102</v>
      </c>
      <c r="C76" s="23">
        <v>9600</v>
      </c>
      <c r="D76" s="23">
        <v>9600</v>
      </c>
      <c r="E76" s="23">
        <v>9600</v>
      </c>
      <c r="F76" s="23"/>
      <c r="G76" s="23"/>
      <c r="H76" s="23"/>
      <c r="I76" s="23"/>
      <c r="J76" s="23"/>
      <c r="K76" s="23"/>
      <c r="L76" s="23"/>
      <c r="M76" s="23"/>
      <c r="N76" s="23"/>
      <c r="O76" s="23"/>
    </row>
    <row r="77" ht="18.75" customHeight="1" spans="1:15">
      <c r="A77" s="182" t="str">
        <f>" "&amp;"22401"</f>
        <v> 22401</v>
      </c>
      <c r="B77" s="182" t="str">
        <f>"  "&amp;"应急管理事务"</f>
        <v>  应急管理事务</v>
      </c>
      <c r="C77" s="23">
        <v>9600</v>
      </c>
      <c r="D77" s="23">
        <v>9600</v>
      </c>
      <c r="E77" s="23">
        <v>9600</v>
      </c>
      <c r="F77" s="23"/>
      <c r="G77" s="23"/>
      <c r="H77" s="23"/>
      <c r="I77" s="23"/>
      <c r="J77" s="23"/>
      <c r="K77" s="23"/>
      <c r="L77" s="23"/>
      <c r="M77" s="23"/>
      <c r="N77" s="23"/>
      <c r="O77" s="23"/>
    </row>
    <row r="78" ht="18.75" customHeight="1" spans="1:15">
      <c r="A78" s="21" t="str">
        <f>"  "&amp;"2240101"</f>
        <v>  2240101</v>
      </c>
      <c r="B78" s="138" t="str">
        <f t="shared" si="0"/>
        <v>    行政运行</v>
      </c>
      <c r="C78" s="23">
        <v>9600</v>
      </c>
      <c r="D78" s="23">
        <v>9600</v>
      </c>
      <c r="E78" s="23">
        <v>9600</v>
      </c>
      <c r="F78" s="23"/>
      <c r="G78" s="23"/>
      <c r="H78" s="23"/>
      <c r="I78" s="23"/>
      <c r="J78" s="23"/>
      <c r="K78" s="23"/>
      <c r="L78" s="23"/>
      <c r="M78" s="23"/>
      <c r="N78" s="23"/>
      <c r="O78" s="23"/>
    </row>
    <row r="79" ht="18.75" customHeight="1" spans="1:15">
      <c r="A79" s="189" t="s">
        <v>103</v>
      </c>
      <c r="B79" s="190" t="s">
        <v>103</v>
      </c>
      <c r="C79" s="23">
        <v>12767081.84</v>
      </c>
      <c r="D79" s="23">
        <v>12767081.84</v>
      </c>
      <c r="E79" s="23">
        <v>12143081.84</v>
      </c>
      <c r="F79" s="23">
        <v>624000</v>
      </c>
      <c r="G79" s="23"/>
      <c r="H79" s="23"/>
      <c r="I79" s="23"/>
      <c r="J79" s="23"/>
      <c r="K79" s="23"/>
      <c r="L79" s="23"/>
      <c r="M79" s="23"/>
      <c r="N79" s="23"/>
      <c r="O79" s="23"/>
    </row>
  </sheetData>
  <mergeCells count="11">
    <mergeCell ref="A2:O2"/>
    <mergeCell ref="A3:L3"/>
    <mergeCell ref="D4:F4"/>
    <mergeCell ref="J4:O4"/>
    <mergeCell ref="A79:B79"/>
    <mergeCell ref="A4:A5"/>
    <mergeCell ref="B4:B5"/>
    <mergeCell ref="C4:C5"/>
    <mergeCell ref="G4:G5"/>
    <mergeCell ref="H4:H5"/>
    <mergeCell ref="I4:I5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D35"/>
  <sheetViews>
    <sheetView showZeros="0" workbookViewId="0">
      <selection activeCell="A1" sqref="A1"/>
    </sheetView>
  </sheetViews>
  <sheetFormatPr defaultColWidth="9.14285714285714" defaultRowHeight="14.25" customHeight="1" outlineLevelCol="3"/>
  <cols>
    <col min="1" max="1" width="39.2857142857143" customWidth="1"/>
    <col min="2" max="2" width="30.847619047619" customWidth="1"/>
    <col min="3" max="3" width="35.847619047619" customWidth="1"/>
    <col min="4" max="4" width="29.847619047619" customWidth="1"/>
  </cols>
  <sheetData>
    <row r="1" ht="19.5" customHeight="1" spans="4:4">
      <c r="D1" s="34" t="s">
        <v>104</v>
      </c>
    </row>
    <row r="2" ht="36" customHeight="1" spans="1:4">
      <c r="A2" s="4" t="str">
        <f>"2025"&amp;"年部门财政拨款收支预算总表"</f>
        <v>2025年部门财政拨款收支预算总表</v>
      </c>
      <c r="B2" s="174"/>
      <c r="C2" s="174"/>
      <c r="D2" s="174"/>
    </row>
    <row r="3" ht="18.75" customHeight="1" spans="1:4">
      <c r="A3" s="6" t="str">
        <f>"单位名称："&amp;"耿马傣族佤族自治县四排山乡"</f>
        <v>单位名称：耿马傣族佤族自治县四排山乡</v>
      </c>
      <c r="B3" s="175"/>
      <c r="C3" s="175"/>
      <c r="D3" s="34" t="s">
        <v>1</v>
      </c>
    </row>
    <row r="4" ht="18.75" customHeight="1" spans="1:4">
      <c r="A4" s="11" t="s">
        <v>2</v>
      </c>
      <c r="B4" s="13"/>
      <c r="C4" s="11" t="s">
        <v>3</v>
      </c>
      <c r="D4" s="13"/>
    </row>
    <row r="5" ht="18.75" customHeight="1" spans="1:4">
      <c r="A5" s="27" t="s">
        <v>4</v>
      </c>
      <c r="B5" s="107" t="str">
        <f t="shared" ref="B5:D5" si="0">"2025"&amp;"年预算数"</f>
        <v>2025年预算数</v>
      </c>
      <c r="C5" s="27" t="s">
        <v>105</v>
      </c>
      <c r="D5" s="107" t="str">
        <f t="shared" si="0"/>
        <v>2025年预算数</v>
      </c>
    </row>
    <row r="6" ht="18.75" customHeight="1" spans="1:4">
      <c r="A6" s="29"/>
      <c r="B6" s="17"/>
      <c r="C6" s="29"/>
      <c r="D6" s="17"/>
    </row>
    <row r="7" ht="18.75" customHeight="1" spans="1:4">
      <c r="A7" s="176" t="s">
        <v>106</v>
      </c>
      <c r="B7" s="23">
        <v>12767081.84</v>
      </c>
      <c r="C7" s="177" t="s">
        <v>107</v>
      </c>
      <c r="D7" s="23">
        <v>12767081.84</v>
      </c>
    </row>
    <row r="8" ht="18.75" customHeight="1" spans="1:4">
      <c r="A8" s="178" t="s">
        <v>108</v>
      </c>
      <c r="B8" s="23">
        <v>12767081.84</v>
      </c>
      <c r="C8" s="177" t="s">
        <v>109</v>
      </c>
      <c r="D8" s="23">
        <v>6804173.58</v>
      </c>
    </row>
    <row r="9" ht="18.75" customHeight="1" spans="1:4">
      <c r="A9" s="178" t="s">
        <v>110</v>
      </c>
      <c r="B9" s="23"/>
      <c r="C9" s="177" t="s">
        <v>111</v>
      </c>
      <c r="D9" s="23"/>
    </row>
    <row r="10" ht="18.75" customHeight="1" spans="1:4">
      <c r="A10" s="178" t="s">
        <v>112</v>
      </c>
      <c r="B10" s="23"/>
      <c r="C10" s="177" t="s">
        <v>113</v>
      </c>
      <c r="D10" s="23"/>
    </row>
    <row r="11" ht="18.75" customHeight="1" spans="1:4">
      <c r="A11" s="178" t="s">
        <v>114</v>
      </c>
      <c r="B11" s="23"/>
      <c r="C11" s="177" t="s">
        <v>115</v>
      </c>
      <c r="D11" s="23">
        <v>15360</v>
      </c>
    </row>
    <row r="12" ht="18.75" customHeight="1" spans="1:4">
      <c r="A12" s="178" t="s">
        <v>108</v>
      </c>
      <c r="B12" s="23"/>
      <c r="C12" s="177" t="s">
        <v>116</v>
      </c>
      <c r="D12" s="23"/>
    </row>
    <row r="13" ht="18.75" customHeight="1" spans="1:4">
      <c r="A13" s="178" t="s">
        <v>110</v>
      </c>
      <c r="B13" s="23"/>
      <c r="C13" s="177" t="s">
        <v>117</v>
      </c>
      <c r="D13" s="23"/>
    </row>
    <row r="14" ht="18.75" customHeight="1" spans="1:4">
      <c r="A14" s="178" t="s">
        <v>112</v>
      </c>
      <c r="B14" s="23"/>
      <c r="C14" s="177" t="s">
        <v>118</v>
      </c>
      <c r="D14" s="23">
        <v>48000</v>
      </c>
    </row>
    <row r="15" ht="18.75" customHeight="1" spans="1:4">
      <c r="A15" s="179"/>
      <c r="B15" s="23"/>
      <c r="C15" s="21" t="s">
        <v>119</v>
      </c>
      <c r="D15" s="23">
        <v>1434854.52</v>
      </c>
    </row>
    <row r="16" ht="18.75" customHeight="1" spans="1:4">
      <c r="A16" s="180"/>
      <c r="B16" s="23"/>
      <c r="C16" s="21" t="s">
        <v>120</v>
      </c>
      <c r="D16" s="23">
        <v>489298.64</v>
      </c>
    </row>
    <row r="17" ht="18.75" customHeight="1" spans="1:4">
      <c r="A17" s="181"/>
      <c r="B17" s="23"/>
      <c r="C17" s="21" t="s">
        <v>121</v>
      </c>
      <c r="D17" s="23">
        <v>165000</v>
      </c>
    </row>
    <row r="18" ht="18.75" customHeight="1" spans="1:4">
      <c r="A18" s="181"/>
      <c r="B18" s="23"/>
      <c r="C18" s="21" t="s">
        <v>122</v>
      </c>
      <c r="D18" s="23">
        <v>941044.24</v>
      </c>
    </row>
    <row r="19" ht="18.75" customHeight="1" spans="1:4">
      <c r="A19" s="181"/>
      <c r="B19" s="23"/>
      <c r="C19" s="21" t="s">
        <v>123</v>
      </c>
      <c r="D19" s="23">
        <v>2261600.78</v>
      </c>
    </row>
    <row r="20" ht="18.75" customHeight="1" spans="1:4">
      <c r="A20" s="181"/>
      <c r="B20" s="23"/>
      <c r="C20" s="21" t="s">
        <v>124</v>
      </c>
      <c r="D20" s="23"/>
    </row>
    <row r="21" ht="18.75" customHeight="1" spans="1:4">
      <c r="A21" s="181"/>
      <c r="B21" s="23"/>
      <c r="C21" s="21" t="s">
        <v>125</v>
      </c>
      <c r="D21" s="23"/>
    </row>
    <row r="22" ht="18.75" customHeight="1" spans="1:4">
      <c r="A22" s="181"/>
      <c r="B22" s="23"/>
      <c r="C22" s="21" t="s">
        <v>126</v>
      </c>
      <c r="D22" s="23"/>
    </row>
    <row r="23" ht="18.75" customHeight="1" spans="1:4">
      <c r="A23" s="181"/>
      <c r="B23" s="23"/>
      <c r="C23" s="21" t="s">
        <v>127</v>
      </c>
      <c r="D23" s="23"/>
    </row>
    <row r="24" ht="18.75" customHeight="1" spans="1:4">
      <c r="A24" s="181"/>
      <c r="B24" s="23"/>
      <c r="C24" s="21" t="s">
        <v>128</v>
      </c>
      <c r="D24" s="23"/>
    </row>
    <row r="25" ht="18.75" customHeight="1" spans="1:4">
      <c r="A25" s="181"/>
      <c r="B25" s="23"/>
      <c r="C25" s="21" t="s">
        <v>129</v>
      </c>
      <c r="D25" s="23"/>
    </row>
    <row r="26" ht="18.75" customHeight="1" spans="1:4">
      <c r="A26" s="181"/>
      <c r="B26" s="23"/>
      <c r="C26" s="21" t="s">
        <v>130</v>
      </c>
      <c r="D26" s="23">
        <v>598150.08</v>
      </c>
    </row>
    <row r="27" ht="18.75" customHeight="1" spans="1:4">
      <c r="A27" s="179"/>
      <c r="B27" s="23"/>
      <c r="C27" s="21" t="s">
        <v>131</v>
      </c>
      <c r="D27" s="23"/>
    </row>
    <row r="28" ht="18.75" customHeight="1" spans="1:4">
      <c r="A28" s="180"/>
      <c r="B28" s="23"/>
      <c r="C28" s="21" t="s">
        <v>132</v>
      </c>
      <c r="D28" s="23"/>
    </row>
    <row r="29" ht="18.75" customHeight="1" spans="1:4">
      <c r="A29" s="181"/>
      <c r="B29" s="23"/>
      <c r="C29" s="21" t="s">
        <v>133</v>
      </c>
      <c r="D29" s="23">
        <v>9600</v>
      </c>
    </row>
    <row r="30" ht="18.75" customHeight="1" spans="1:4">
      <c r="A30" s="181"/>
      <c r="B30" s="23"/>
      <c r="C30" s="21" t="s">
        <v>134</v>
      </c>
      <c r="D30" s="23"/>
    </row>
    <row r="31" ht="18.75" customHeight="1" spans="1:4">
      <c r="A31" s="181"/>
      <c r="B31" s="23"/>
      <c r="C31" s="21" t="s">
        <v>135</v>
      </c>
      <c r="D31" s="23"/>
    </row>
    <row r="32" ht="18.75" customHeight="1" spans="1:4">
      <c r="A32" s="181"/>
      <c r="B32" s="23"/>
      <c r="C32" s="21" t="s">
        <v>136</v>
      </c>
      <c r="D32" s="23"/>
    </row>
    <row r="33" ht="18.75" customHeight="1" spans="1:4">
      <c r="A33" s="181"/>
      <c r="B33" s="23"/>
      <c r="C33" s="21" t="s">
        <v>137</v>
      </c>
      <c r="D33" s="23"/>
    </row>
    <row r="34" ht="18.75" customHeight="1" spans="1:4">
      <c r="A34" s="179"/>
      <c r="B34" s="23"/>
      <c r="C34" s="182" t="s">
        <v>138</v>
      </c>
      <c r="D34" s="23"/>
    </row>
    <row r="35" ht="18.75" customHeight="1" spans="1:4">
      <c r="A35" s="180" t="s">
        <v>139</v>
      </c>
      <c r="B35" s="183">
        <v>12767081.84</v>
      </c>
      <c r="C35" s="179" t="s">
        <v>51</v>
      </c>
      <c r="D35" s="183">
        <v>12767081.84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G77"/>
  <sheetViews>
    <sheetView showZeros="0" workbookViewId="0">
      <selection activeCell="A1" sqref="A1"/>
    </sheetView>
  </sheetViews>
  <sheetFormatPr defaultColWidth="9.14285714285714" defaultRowHeight="14.25" customHeight="1" outlineLevelCol="6"/>
  <cols>
    <col min="1" max="1" width="20.1428571428571" customWidth="1"/>
    <col min="2" max="2" width="44" customWidth="1"/>
    <col min="3" max="3" width="24.2857142857143" customWidth="1"/>
    <col min="4" max="4" width="20.4190476190476" customWidth="1"/>
    <col min="5" max="7" width="24.2857142857143" customWidth="1"/>
  </cols>
  <sheetData>
    <row r="1" customHeight="1" spans="1:7">
      <c r="A1" s="164"/>
      <c r="B1" s="164"/>
      <c r="C1" s="164"/>
      <c r="D1" s="51"/>
      <c r="E1" s="164"/>
      <c r="F1" s="54"/>
      <c r="G1" s="34" t="s">
        <v>140</v>
      </c>
    </row>
    <row r="2" ht="39" customHeight="1" spans="1:7">
      <c r="A2" s="4" t="str">
        <f>"2025"&amp;"年一般公共预算支出预算表（按功能科目分类）"</f>
        <v>2025年一般公共预算支出预算表（按功能科目分类）</v>
      </c>
      <c r="B2" s="106"/>
      <c r="C2" s="106"/>
      <c r="D2" s="106"/>
      <c r="E2" s="106"/>
      <c r="F2" s="106"/>
      <c r="G2" s="106"/>
    </row>
    <row r="3" ht="18.75" customHeight="1" spans="1:7">
      <c r="A3" s="6" t="str">
        <f>"单位名称："&amp;"耿马傣族佤族自治县四排山乡"</f>
        <v>单位名称：耿马傣族佤族自治县四排山乡</v>
      </c>
      <c r="B3" s="165"/>
      <c r="C3" s="51"/>
      <c r="D3" s="51"/>
      <c r="E3" s="51"/>
      <c r="F3" s="54"/>
      <c r="G3" s="34" t="s">
        <v>1</v>
      </c>
    </row>
    <row r="4" ht="18.75" customHeight="1" spans="1:7">
      <c r="A4" s="166" t="s">
        <v>141</v>
      </c>
      <c r="B4" s="167"/>
      <c r="C4" s="107" t="s">
        <v>55</v>
      </c>
      <c r="D4" s="136" t="s">
        <v>74</v>
      </c>
      <c r="E4" s="12"/>
      <c r="F4" s="13"/>
      <c r="G4" s="129" t="s">
        <v>75</v>
      </c>
    </row>
    <row r="5" ht="18.75" customHeight="1" spans="1:7">
      <c r="A5" s="168" t="s">
        <v>72</v>
      </c>
      <c r="B5" s="168" t="s">
        <v>73</v>
      </c>
      <c r="C5" s="29"/>
      <c r="D5" s="169" t="s">
        <v>57</v>
      </c>
      <c r="E5" s="169" t="s">
        <v>142</v>
      </c>
      <c r="F5" s="169" t="s">
        <v>143</v>
      </c>
      <c r="G5" s="93"/>
    </row>
    <row r="6" ht="18.75" customHeight="1" spans="1:7">
      <c r="A6" s="170" t="s">
        <v>144</v>
      </c>
      <c r="B6" s="170" t="s">
        <v>145</v>
      </c>
      <c r="C6" s="170" t="s">
        <v>146</v>
      </c>
      <c r="D6" s="171">
        <v>4</v>
      </c>
      <c r="E6" s="172" t="s">
        <v>147</v>
      </c>
      <c r="F6" s="172" t="s">
        <v>148</v>
      </c>
      <c r="G6" s="170" t="s">
        <v>149</v>
      </c>
    </row>
    <row r="7" ht="18.75" customHeight="1" spans="1:7">
      <c r="A7" s="121" t="s">
        <v>83</v>
      </c>
      <c r="B7" s="121" t="s">
        <v>84</v>
      </c>
      <c r="C7" s="23">
        <v>6804173.58</v>
      </c>
      <c r="D7" s="23">
        <v>6657173.58</v>
      </c>
      <c r="E7" s="23">
        <v>5784259.56</v>
      </c>
      <c r="F7" s="23">
        <v>872914.02</v>
      </c>
      <c r="G7" s="23">
        <v>147000</v>
      </c>
    </row>
    <row r="8" ht="18.75" customHeight="1" spans="1:7">
      <c r="A8" s="123" t="s">
        <v>150</v>
      </c>
      <c r="B8" s="123" t="s">
        <v>151</v>
      </c>
      <c r="C8" s="23">
        <v>178073.36</v>
      </c>
      <c r="D8" s="23">
        <v>158073.36</v>
      </c>
      <c r="E8" s="23">
        <v>143102</v>
      </c>
      <c r="F8" s="23">
        <v>14971.36</v>
      </c>
      <c r="G8" s="23">
        <v>20000</v>
      </c>
    </row>
    <row r="9" ht="18.75" customHeight="1" spans="1:7">
      <c r="A9" s="173" t="s">
        <v>152</v>
      </c>
      <c r="B9" s="173" t="s">
        <v>153</v>
      </c>
      <c r="C9" s="23">
        <v>158073.36</v>
      </c>
      <c r="D9" s="23">
        <v>158073.36</v>
      </c>
      <c r="E9" s="23">
        <v>143102</v>
      </c>
      <c r="F9" s="23">
        <v>14971.36</v>
      </c>
      <c r="G9" s="23"/>
    </row>
    <row r="10" ht="18.75" customHeight="1" spans="1:7">
      <c r="A10" s="173" t="s">
        <v>154</v>
      </c>
      <c r="B10" s="173" t="s">
        <v>155</v>
      </c>
      <c r="C10" s="23">
        <v>20000</v>
      </c>
      <c r="D10" s="23"/>
      <c r="E10" s="23"/>
      <c r="F10" s="23"/>
      <c r="G10" s="23">
        <v>20000</v>
      </c>
    </row>
    <row r="11" ht="18.75" customHeight="1" spans="1:7">
      <c r="A11" s="123" t="s">
        <v>156</v>
      </c>
      <c r="B11" s="123" t="s">
        <v>157</v>
      </c>
      <c r="C11" s="23">
        <v>4533916.46</v>
      </c>
      <c r="D11" s="23">
        <v>4419916.46</v>
      </c>
      <c r="E11" s="23">
        <v>3752908.92</v>
      </c>
      <c r="F11" s="23">
        <v>667007.54</v>
      </c>
      <c r="G11" s="23">
        <v>114000</v>
      </c>
    </row>
    <row r="12" ht="18.75" customHeight="1" spans="1:7">
      <c r="A12" s="173" t="s">
        <v>158</v>
      </c>
      <c r="B12" s="173" t="s">
        <v>153</v>
      </c>
      <c r="C12" s="23">
        <v>4419916.46</v>
      </c>
      <c r="D12" s="23">
        <v>4419916.46</v>
      </c>
      <c r="E12" s="23">
        <v>3752908.92</v>
      </c>
      <c r="F12" s="23">
        <v>667007.54</v>
      </c>
      <c r="G12" s="23"/>
    </row>
    <row r="13" ht="18.75" customHeight="1" spans="1:7">
      <c r="A13" s="173" t="s">
        <v>159</v>
      </c>
      <c r="B13" s="173" t="s">
        <v>155</v>
      </c>
      <c r="C13" s="23">
        <v>40000</v>
      </c>
      <c r="D13" s="23"/>
      <c r="E13" s="23"/>
      <c r="F13" s="23"/>
      <c r="G13" s="23">
        <v>40000</v>
      </c>
    </row>
    <row r="14" ht="18.75" customHeight="1" spans="1:7">
      <c r="A14" s="173" t="s">
        <v>160</v>
      </c>
      <c r="B14" s="173" t="s">
        <v>161</v>
      </c>
      <c r="C14" s="23">
        <v>74000</v>
      </c>
      <c r="D14" s="23"/>
      <c r="E14" s="23"/>
      <c r="F14" s="23"/>
      <c r="G14" s="23">
        <v>74000</v>
      </c>
    </row>
    <row r="15" ht="18.75" customHeight="1" spans="1:7">
      <c r="A15" s="123" t="s">
        <v>162</v>
      </c>
      <c r="B15" s="123" t="s">
        <v>163</v>
      </c>
      <c r="C15" s="23">
        <v>3000</v>
      </c>
      <c r="D15" s="23"/>
      <c r="E15" s="23"/>
      <c r="F15" s="23"/>
      <c r="G15" s="23">
        <v>3000</v>
      </c>
    </row>
    <row r="16" ht="18.75" customHeight="1" spans="1:7">
      <c r="A16" s="173" t="s">
        <v>164</v>
      </c>
      <c r="B16" s="173" t="s">
        <v>165</v>
      </c>
      <c r="C16" s="23">
        <v>3000</v>
      </c>
      <c r="D16" s="23"/>
      <c r="E16" s="23"/>
      <c r="F16" s="23"/>
      <c r="G16" s="23">
        <v>3000</v>
      </c>
    </row>
    <row r="17" ht="18.75" customHeight="1" spans="1:7">
      <c r="A17" s="123" t="s">
        <v>166</v>
      </c>
      <c r="B17" s="123" t="s">
        <v>167</v>
      </c>
      <c r="C17" s="23">
        <v>10000</v>
      </c>
      <c r="D17" s="23"/>
      <c r="E17" s="23"/>
      <c r="F17" s="23"/>
      <c r="G17" s="23">
        <v>10000</v>
      </c>
    </row>
    <row r="18" ht="18.75" customHeight="1" spans="1:7">
      <c r="A18" s="173" t="s">
        <v>168</v>
      </c>
      <c r="B18" s="173" t="s">
        <v>169</v>
      </c>
      <c r="C18" s="23">
        <v>10000</v>
      </c>
      <c r="D18" s="23"/>
      <c r="E18" s="23"/>
      <c r="F18" s="23"/>
      <c r="G18" s="23">
        <v>10000</v>
      </c>
    </row>
    <row r="19" ht="18.75" customHeight="1" spans="1:7">
      <c r="A19" s="123" t="s">
        <v>170</v>
      </c>
      <c r="B19" s="123" t="s">
        <v>171</v>
      </c>
      <c r="C19" s="23">
        <v>155581.48</v>
      </c>
      <c r="D19" s="23">
        <v>155581.48</v>
      </c>
      <c r="E19" s="23">
        <v>121825</v>
      </c>
      <c r="F19" s="23">
        <v>33756.48</v>
      </c>
      <c r="G19" s="23"/>
    </row>
    <row r="20" ht="18.75" customHeight="1" spans="1:7">
      <c r="A20" s="173" t="s">
        <v>172</v>
      </c>
      <c r="B20" s="173" t="s">
        <v>153</v>
      </c>
      <c r="C20" s="23">
        <v>155581.48</v>
      </c>
      <c r="D20" s="23">
        <v>155581.48</v>
      </c>
      <c r="E20" s="23">
        <v>121825</v>
      </c>
      <c r="F20" s="23">
        <v>33756.48</v>
      </c>
      <c r="G20" s="23"/>
    </row>
    <row r="21" ht="18.75" customHeight="1" spans="1:7">
      <c r="A21" s="123" t="s">
        <v>173</v>
      </c>
      <c r="B21" s="123" t="s">
        <v>174</v>
      </c>
      <c r="C21" s="23">
        <v>6000</v>
      </c>
      <c r="D21" s="23">
        <v>6000</v>
      </c>
      <c r="E21" s="23">
        <v>6000</v>
      </c>
      <c r="F21" s="23"/>
      <c r="G21" s="23"/>
    </row>
    <row r="22" ht="18.75" customHeight="1" spans="1:7">
      <c r="A22" s="173" t="s">
        <v>175</v>
      </c>
      <c r="B22" s="173" t="s">
        <v>153</v>
      </c>
      <c r="C22" s="23">
        <v>6000</v>
      </c>
      <c r="D22" s="23">
        <v>6000</v>
      </c>
      <c r="E22" s="23">
        <v>6000</v>
      </c>
      <c r="F22" s="23"/>
      <c r="G22" s="23"/>
    </row>
    <row r="23" ht="18.75" customHeight="1" spans="1:7">
      <c r="A23" s="123" t="s">
        <v>176</v>
      </c>
      <c r="B23" s="123" t="s">
        <v>177</v>
      </c>
      <c r="C23" s="23">
        <v>867514.76</v>
      </c>
      <c r="D23" s="23">
        <v>867514.76</v>
      </c>
      <c r="E23" s="23">
        <v>779213</v>
      </c>
      <c r="F23" s="23">
        <v>88301.76</v>
      </c>
      <c r="G23" s="23"/>
    </row>
    <row r="24" ht="18.75" customHeight="1" spans="1:7">
      <c r="A24" s="173" t="s">
        <v>178</v>
      </c>
      <c r="B24" s="173" t="s">
        <v>153</v>
      </c>
      <c r="C24" s="23">
        <v>867514.76</v>
      </c>
      <c r="D24" s="23">
        <v>867514.76</v>
      </c>
      <c r="E24" s="23">
        <v>779213</v>
      </c>
      <c r="F24" s="23">
        <v>88301.76</v>
      </c>
      <c r="G24" s="23"/>
    </row>
    <row r="25" ht="18.75" customHeight="1" spans="1:7">
      <c r="A25" s="123" t="s">
        <v>179</v>
      </c>
      <c r="B25" s="123" t="s">
        <v>180</v>
      </c>
      <c r="C25" s="23">
        <v>793221.04</v>
      </c>
      <c r="D25" s="23">
        <v>793221.04</v>
      </c>
      <c r="E25" s="23">
        <v>753590.64</v>
      </c>
      <c r="F25" s="23">
        <v>39630.4</v>
      </c>
      <c r="G25" s="23"/>
    </row>
    <row r="26" ht="18.75" customHeight="1" spans="1:7">
      <c r="A26" s="173" t="s">
        <v>181</v>
      </c>
      <c r="B26" s="173" t="s">
        <v>182</v>
      </c>
      <c r="C26" s="23">
        <v>793221.04</v>
      </c>
      <c r="D26" s="23">
        <v>793221.04</v>
      </c>
      <c r="E26" s="23">
        <v>753590.64</v>
      </c>
      <c r="F26" s="23">
        <v>39630.4</v>
      </c>
      <c r="G26" s="23"/>
    </row>
    <row r="27" ht="18.75" customHeight="1" spans="1:7">
      <c r="A27" s="123" t="s">
        <v>183</v>
      </c>
      <c r="B27" s="123" t="s">
        <v>184</v>
      </c>
      <c r="C27" s="23">
        <v>9600</v>
      </c>
      <c r="D27" s="23">
        <v>9600</v>
      </c>
      <c r="E27" s="23">
        <v>9600</v>
      </c>
      <c r="F27" s="23"/>
      <c r="G27" s="23"/>
    </row>
    <row r="28" ht="18.75" customHeight="1" spans="1:7">
      <c r="A28" s="173" t="s">
        <v>185</v>
      </c>
      <c r="B28" s="173" t="s">
        <v>186</v>
      </c>
      <c r="C28" s="23">
        <v>9600</v>
      </c>
      <c r="D28" s="23">
        <v>9600</v>
      </c>
      <c r="E28" s="23">
        <v>9600</v>
      </c>
      <c r="F28" s="23"/>
      <c r="G28" s="23"/>
    </row>
    <row r="29" ht="18.75" customHeight="1" spans="1:7">
      <c r="A29" s="123" t="s">
        <v>187</v>
      </c>
      <c r="B29" s="123" t="s">
        <v>188</v>
      </c>
      <c r="C29" s="23">
        <v>247266.48</v>
      </c>
      <c r="D29" s="23">
        <v>247266.48</v>
      </c>
      <c r="E29" s="23">
        <v>218020</v>
      </c>
      <c r="F29" s="23">
        <v>29246.48</v>
      </c>
      <c r="G29" s="23"/>
    </row>
    <row r="30" ht="18.75" customHeight="1" spans="1:7">
      <c r="A30" s="173" t="s">
        <v>189</v>
      </c>
      <c r="B30" s="173" t="s">
        <v>153</v>
      </c>
      <c r="C30" s="23">
        <v>247266.48</v>
      </c>
      <c r="D30" s="23">
        <v>247266.48</v>
      </c>
      <c r="E30" s="23">
        <v>218020</v>
      </c>
      <c r="F30" s="23">
        <v>29246.48</v>
      </c>
      <c r="G30" s="23"/>
    </row>
    <row r="31" ht="18.75" customHeight="1" spans="1:7">
      <c r="A31" s="121" t="s">
        <v>85</v>
      </c>
      <c r="B31" s="121" t="s">
        <v>86</v>
      </c>
      <c r="C31" s="23">
        <v>15360</v>
      </c>
      <c r="D31" s="23">
        <v>15360</v>
      </c>
      <c r="E31" s="23">
        <v>15360</v>
      </c>
      <c r="F31" s="23"/>
      <c r="G31" s="23"/>
    </row>
    <row r="32" ht="18.75" customHeight="1" spans="1:7">
      <c r="A32" s="123" t="s">
        <v>190</v>
      </c>
      <c r="B32" s="123" t="s">
        <v>191</v>
      </c>
      <c r="C32" s="23">
        <v>15360</v>
      </c>
      <c r="D32" s="23">
        <v>15360</v>
      </c>
      <c r="E32" s="23">
        <v>15360</v>
      </c>
      <c r="F32" s="23"/>
      <c r="G32" s="23"/>
    </row>
    <row r="33" ht="18.75" customHeight="1" spans="1:7">
      <c r="A33" s="173" t="s">
        <v>192</v>
      </c>
      <c r="B33" s="173" t="s">
        <v>193</v>
      </c>
      <c r="C33" s="23">
        <v>15360</v>
      </c>
      <c r="D33" s="23">
        <v>15360</v>
      </c>
      <c r="E33" s="23">
        <v>15360</v>
      </c>
      <c r="F33" s="23"/>
      <c r="G33" s="23"/>
    </row>
    <row r="34" ht="18.75" customHeight="1" spans="1:7">
      <c r="A34" s="121" t="s">
        <v>87</v>
      </c>
      <c r="B34" s="121" t="s">
        <v>88</v>
      </c>
      <c r="C34" s="23">
        <v>48000</v>
      </c>
      <c r="D34" s="23">
        <v>48000</v>
      </c>
      <c r="E34" s="23">
        <v>48000</v>
      </c>
      <c r="F34" s="23"/>
      <c r="G34" s="23"/>
    </row>
    <row r="35" ht="18.75" customHeight="1" spans="1:7">
      <c r="A35" s="123" t="s">
        <v>194</v>
      </c>
      <c r="B35" s="123" t="s">
        <v>195</v>
      </c>
      <c r="C35" s="23">
        <v>48000</v>
      </c>
      <c r="D35" s="23">
        <v>48000</v>
      </c>
      <c r="E35" s="23">
        <v>48000</v>
      </c>
      <c r="F35" s="23"/>
      <c r="G35" s="23"/>
    </row>
    <row r="36" ht="18.75" customHeight="1" spans="1:7">
      <c r="A36" s="173" t="s">
        <v>196</v>
      </c>
      <c r="B36" s="173" t="s">
        <v>197</v>
      </c>
      <c r="C36" s="23">
        <v>48000</v>
      </c>
      <c r="D36" s="23">
        <v>48000</v>
      </c>
      <c r="E36" s="23">
        <v>48000</v>
      </c>
      <c r="F36" s="23"/>
      <c r="G36" s="23"/>
    </row>
    <row r="37" ht="18.75" customHeight="1" spans="1:7">
      <c r="A37" s="121" t="s">
        <v>89</v>
      </c>
      <c r="B37" s="121" t="s">
        <v>90</v>
      </c>
      <c r="C37" s="23">
        <v>1434854.52</v>
      </c>
      <c r="D37" s="23">
        <v>1434854.52</v>
      </c>
      <c r="E37" s="23">
        <v>1434854.52</v>
      </c>
      <c r="F37" s="23"/>
      <c r="G37" s="23"/>
    </row>
    <row r="38" ht="18.75" customHeight="1" spans="1:7">
      <c r="A38" s="123" t="s">
        <v>198</v>
      </c>
      <c r="B38" s="123" t="s">
        <v>199</v>
      </c>
      <c r="C38" s="23">
        <v>169920</v>
      </c>
      <c r="D38" s="23">
        <v>169920</v>
      </c>
      <c r="E38" s="23">
        <v>169920</v>
      </c>
      <c r="F38" s="23"/>
      <c r="G38" s="23"/>
    </row>
    <row r="39" ht="18.75" customHeight="1" spans="1:7">
      <c r="A39" s="173" t="s">
        <v>200</v>
      </c>
      <c r="B39" s="173" t="s">
        <v>201</v>
      </c>
      <c r="C39" s="23">
        <v>169920</v>
      </c>
      <c r="D39" s="23">
        <v>169920</v>
      </c>
      <c r="E39" s="23">
        <v>169920</v>
      </c>
      <c r="F39" s="23"/>
      <c r="G39" s="23"/>
    </row>
    <row r="40" ht="18.75" customHeight="1" spans="1:7">
      <c r="A40" s="123" t="s">
        <v>202</v>
      </c>
      <c r="B40" s="123" t="s">
        <v>203</v>
      </c>
      <c r="C40" s="23">
        <v>1118423.64</v>
      </c>
      <c r="D40" s="23">
        <v>1118423.64</v>
      </c>
      <c r="E40" s="23">
        <v>1118423.64</v>
      </c>
      <c r="F40" s="23"/>
      <c r="G40" s="23"/>
    </row>
    <row r="41" ht="18.75" customHeight="1" spans="1:7">
      <c r="A41" s="173" t="s">
        <v>204</v>
      </c>
      <c r="B41" s="173" t="s">
        <v>205</v>
      </c>
      <c r="C41" s="23">
        <v>320890.2</v>
      </c>
      <c r="D41" s="23">
        <v>320890.2</v>
      </c>
      <c r="E41" s="23">
        <v>320890.2</v>
      </c>
      <c r="F41" s="23"/>
      <c r="G41" s="23"/>
    </row>
    <row r="42" ht="18.75" customHeight="1" spans="1:7">
      <c r="A42" s="173" t="s">
        <v>206</v>
      </c>
      <c r="B42" s="173" t="s">
        <v>207</v>
      </c>
      <c r="C42" s="23">
        <v>797533.44</v>
      </c>
      <c r="D42" s="23">
        <v>797533.44</v>
      </c>
      <c r="E42" s="23">
        <v>797533.44</v>
      </c>
      <c r="F42" s="23"/>
      <c r="G42" s="23"/>
    </row>
    <row r="43" ht="18.75" customHeight="1" spans="1:7">
      <c r="A43" s="123" t="s">
        <v>208</v>
      </c>
      <c r="B43" s="123" t="s">
        <v>209</v>
      </c>
      <c r="C43" s="23">
        <v>112910.88</v>
      </c>
      <c r="D43" s="23">
        <v>112910.88</v>
      </c>
      <c r="E43" s="23">
        <v>112910.88</v>
      </c>
      <c r="F43" s="23"/>
      <c r="G43" s="23"/>
    </row>
    <row r="44" ht="18.75" customHeight="1" spans="1:7">
      <c r="A44" s="173" t="s">
        <v>210</v>
      </c>
      <c r="B44" s="173" t="s">
        <v>211</v>
      </c>
      <c r="C44" s="23">
        <v>112910.88</v>
      </c>
      <c r="D44" s="23">
        <v>112910.88</v>
      </c>
      <c r="E44" s="23">
        <v>112910.88</v>
      </c>
      <c r="F44" s="23"/>
      <c r="G44" s="23"/>
    </row>
    <row r="45" ht="18.75" customHeight="1" spans="1:7">
      <c r="A45" s="123" t="s">
        <v>212</v>
      </c>
      <c r="B45" s="123" t="s">
        <v>213</v>
      </c>
      <c r="C45" s="23">
        <v>14400</v>
      </c>
      <c r="D45" s="23">
        <v>14400</v>
      </c>
      <c r="E45" s="23">
        <v>14400</v>
      </c>
      <c r="F45" s="23"/>
      <c r="G45" s="23"/>
    </row>
    <row r="46" ht="18.75" customHeight="1" spans="1:7">
      <c r="A46" s="173" t="s">
        <v>214</v>
      </c>
      <c r="B46" s="173" t="s">
        <v>215</v>
      </c>
      <c r="C46" s="23">
        <v>14400</v>
      </c>
      <c r="D46" s="23">
        <v>14400</v>
      </c>
      <c r="E46" s="23">
        <v>14400</v>
      </c>
      <c r="F46" s="23"/>
      <c r="G46" s="23"/>
    </row>
    <row r="47" ht="18.75" customHeight="1" spans="1:7">
      <c r="A47" s="123" t="s">
        <v>216</v>
      </c>
      <c r="B47" s="123" t="s">
        <v>217</v>
      </c>
      <c r="C47" s="23">
        <v>19200</v>
      </c>
      <c r="D47" s="23">
        <v>19200</v>
      </c>
      <c r="E47" s="23">
        <v>19200</v>
      </c>
      <c r="F47" s="23"/>
      <c r="G47" s="23"/>
    </row>
    <row r="48" ht="18.75" customHeight="1" spans="1:7">
      <c r="A48" s="173" t="s">
        <v>218</v>
      </c>
      <c r="B48" s="173" t="s">
        <v>219</v>
      </c>
      <c r="C48" s="23">
        <v>19200</v>
      </c>
      <c r="D48" s="23">
        <v>19200</v>
      </c>
      <c r="E48" s="23">
        <v>19200</v>
      </c>
      <c r="F48" s="23"/>
      <c r="G48" s="23"/>
    </row>
    <row r="49" ht="18.75" customHeight="1" spans="1:7">
      <c r="A49" s="121" t="s">
        <v>91</v>
      </c>
      <c r="B49" s="121" t="s">
        <v>92</v>
      </c>
      <c r="C49" s="23">
        <v>489298.64</v>
      </c>
      <c r="D49" s="23">
        <v>489298.64</v>
      </c>
      <c r="E49" s="23">
        <v>489298.64</v>
      </c>
      <c r="F49" s="23"/>
      <c r="G49" s="23"/>
    </row>
    <row r="50" ht="18.75" customHeight="1" spans="1:7">
      <c r="A50" s="123" t="s">
        <v>220</v>
      </c>
      <c r="B50" s="123" t="s">
        <v>221</v>
      </c>
      <c r="C50" s="23">
        <v>109920</v>
      </c>
      <c r="D50" s="23">
        <v>109920</v>
      </c>
      <c r="E50" s="23">
        <v>109920</v>
      </c>
      <c r="F50" s="23"/>
      <c r="G50" s="23"/>
    </row>
    <row r="51" ht="18.75" customHeight="1" spans="1:7">
      <c r="A51" s="173" t="s">
        <v>222</v>
      </c>
      <c r="B51" s="173" t="s">
        <v>223</v>
      </c>
      <c r="C51" s="23">
        <v>109920</v>
      </c>
      <c r="D51" s="23">
        <v>109920</v>
      </c>
      <c r="E51" s="23">
        <v>109920</v>
      </c>
      <c r="F51" s="23"/>
      <c r="G51" s="23"/>
    </row>
    <row r="52" ht="18.75" customHeight="1" spans="1:7">
      <c r="A52" s="123" t="s">
        <v>224</v>
      </c>
      <c r="B52" s="123" t="s">
        <v>225</v>
      </c>
      <c r="C52" s="23">
        <v>379378.64</v>
      </c>
      <c r="D52" s="23">
        <v>379378.64</v>
      </c>
      <c r="E52" s="23">
        <v>379378.64</v>
      </c>
      <c r="F52" s="23"/>
      <c r="G52" s="23"/>
    </row>
    <row r="53" ht="18.75" customHeight="1" spans="1:7">
      <c r="A53" s="173" t="s">
        <v>226</v>
      </c>
      <c r="B53" s="173" t="s">
        <v>227</v>
      </c>
      <c r="C53" s="23">
        <v>171795.58</v>
      </c>
      <c r="D53" s="23">
        <v>171795.58</v>
      </c>
      <c r="E53" s="23">
        <v>171795.58</v>
      </c>
      <c r="F53" s="23"/>
      <c r="G53" s="23"/>
    </row>
    <row r="54" ht="18.75" customHeight="1" spans="1:7">
      <c r="A54" s="173" t="s">
        <v>228</v>
      </c>
      <c r="B54" s="173" t="s">
        <v>229</v>
      </c>
      <c r="C54" s="23">
        <v>182109.89</v>
      </c>
      <c r="D54" s="23">
        <v>182109.89</v>
      </c>
      <c r="E54" s="23">
        <v>182109.89</v>
      </c>
      <c r="F54" s="23"/>
      <c r="G54" s="23"/>
    </row>
    <row r="55" ht="18.75" customHeight="1" spans="1:7">
      <c r="A55" s="173" t="s">
        <v>230</v>
      </c>
      <c r="B55" s="173" t="s">
        <v>231</v>
      </c>
      <c r="C55" s="23">
        <v>25473.17</v>
      </c>
      <c r="D55" s="23">
        <v>25473.17</v>
      </c>
      <c r="E55" s="23">
        <v>25473.17</v>
      </c>
      <c r="F55" s="23"/>
      <c r="G55" s="23"/>
    </row>
    <row r="56" ht="18.75" customHeight="1" spans="1:7">
      <c r="A56" s="121" t="s">
        <v>93</v>
      </c>
      <c r="B56" s="121" t="s">
        <v>94</v>
      </c>
      <c r="C56" s="23">
        <v>165000</v>
      </c>
      <c r="D56" s="23"/>
      <c r="E56" s="23"/>
      <c r="F56" s="23"/>
      <c r="G56" s="23">
        <v>165000</v>
      </c>
    </row>
    <row r="57" ht="18.75" customHeight="1" spans="1:7">
      <c r="A57" s="123" t="s">
        <v>232</v>
      </c>
      <c r="B57" s="123" t="s">
        <v>233</v>
      </c>
      <c r="C57" s="23">
        <v>165000</v>
      </c>
      <c r="D57" s="23"/>
      <c r="E57" s="23"/>
      <c r="F57" s="23"/>
      <c r="G57" s="23">
        <v>165000</v>
      </c>
    </row>
    <row r="58" ht="18.75" customHeight="1" spans="1:7">
      <c r="A58" s="173" t="s">
        <v>234</v>
      </c>
      <c r="B58" s="173" t="s">
        <v>235</v>
      </c>
      <c r="C58" s="23">
        <v>165000</v>
      </c>
      <c r="D58" s="23"/>
      <c r="E58" s="23"/>
      <c r="F58" s="23"/>
      <c r="G58" s="23">
        <v>165000</v>
      </c>
    </row>
    <row r="59" ht="18.75" customHeight="1" spans="1:7">
      <c r="A59" s="121" t="s">
        <v>95</v>
      </c>
      <c r="B59" s="121" t="s">
        <v>96</v>
      </c>
      <c r="C59" s="23">
        <v>941044.24</v>
      </c>
      <c r="D59" s="23">
        <v>941044.24</v>
      </c>
      <c r="E59" s="23">
        <v>905298.88</v>
      </c>
      <c r="F59" s="23">
        <v>35745.36</v>
      </c>
      <c r="G59" s="23"/>
    </row>
    <row r="60" ht="18.75" customHeight="1" spans="1:7">
      <c r="A60" s="123" t="s">
        <v>236</v>
      </c>
      <c r="B60" s="123" t="s">
        <v>237</v>
      </c>
      <c r="C60" s="23">
        <v>771124.24</v>
      </c>
      <c r="D60" s="23">
        <v>771124.24</v>
      </c>
      <c r="E60" s="23">
        <v>735378.88</v>
      </c>
      <c r="F60" s="23">
        <v>35745.36</v>
      </c>
      <c r="G60" s="23"/>
    </row>
    <row r="61" ht="18.75" customHeight="1" spans="1:7">
      <c r="A61" s="173" t="s">
        <v>238</v>
      </c>
      <c r="B61" s="173" t="s">
        <v>239</v>
      </c>
      <c r="C61" s="23">
        <v>771124.24</v>
      </c>
      <c r="D61" s="23">
        <v>771124.24</v>
      </c>
      <c r="E61" s="23">
        <v>735378.88</v>
      </c>
      <c r="F61" s="23">
        <v>35745.36</v>
      </c>
      <c r="G61" s="23"/>
    </row>
    <row r="62" ht="18.75" customHeight="1" spans="1:7">
      <c r="A62" s="123" t="s">
        <v>240</v>
      </c>
      <c r="B62" s="123" t="s">
        <v>241</v>
      </c>
      <c r="C62" s="23">
        <v>169920</v>
      </c>
      <c r="D62" s="23">
        <v>169920</v>
      </c>
      <c r="E62" s="23">
        <v>169920</v>
      </c>
      <c r="F62" s="23"/>
      <c r="G62" s="23"/>
    </row>
    <row r="63" ht="18.75" customHeight="1" spans="1:7">
      <c r="A63" s="173" t="s">
        <v>242</v>
      </c>
      <c r="B63" s="173" t="s">
        <v>241</v>
      </c>
      <c r="C63" s="23">
        <v>169920</v>
      </c>
      <c r="D63" s="23">
        <v>169920</v>
      </c>
      <c r="E63" s="23">
        <v>169920</v>
      </c>
      <c r="F63" s="23"/>
      <c r="G63" s="23"/>
    </row>
    <row r="64" ht="18.75" customHeight="1" spans="1:7">
      <c r="A64" s="121" t="s">
        <v>97</v>
      </c>
      <c r="B64" s="121" t="s">
        <v>98</v>
      </c>
      <c r="C64" s="23">
        <v>2261600.78</v>
      </c>
      <c r="D64" s="23">
        <v>1949600.78</v>
      </c>
      <c r="E64" s="23">
        <v>1857677.98</v>
      </c>
      <c r="F64" s="23">
        <v>91922.8</v>
      </c>
      <c r="G64" s="23">
        <v>312000</v>
      </c>
    </row>
    <row r="65" ht="18.75" customHeight="1" spans="1:7">
      <c r="A65" s="123" t="s">
        <v>243</v>
      </c>
      <c r="B65" s="123" t="s">
        <v>244</v>
      </c>
      <c r="C65" s="23">
        <v>2191600.78</v>
      </c>
      <c r="D65" s="23">
        <v>1949600.78</v>
      </c>
      <c r="E65" s="23">
        <v>1857677.98</v>
      </c>
      <c r="F65" s="23">
        <v>91922.8</v>
      </c>
      <c r="G65" s="23">
        <v>242000</v>
      </c>
    </row>
    <row r="66" ht="18.75" customHeight="1" spans="1:7">
      <c r="A66" s="173" t="s">
        <v>245</v>
      </c>
      <c r="B66" s="173" t="s">
        <v>182</v>
      </c>
      <c r="C66" s="23">
        <v>1949600.78</v>
      </c>
      <c r="D66" s="23">
        <v>1949600.78</v>
      </c>
      <c r="E66" s="23">
        <v>1857677.98</v>
      </c>
      <c r="F66" s="23">
        <v>91922.8</v>
      </c>
      <c r="G66" s="23"/>
    </row>
    <row r="67" ht="18.75" customHeight="1" spans="1:7">
      <c r="A67" s="173" t="s">
        <v>246</v>
      </c>
      <c r="B67" s="173" t="s">
        <v>247</v>
      </c>
      <c r="C67" s="23">
        <v>50000</v>
      </c>
      <c r="D67" s="23"/>
      <c r="E67" s="23"/>
      <c r="F67" s="23"/>
      <c r="G67" s="23">
        <v>50000</v>
      </c>
    </row>
    <row r="68" ht="18.75" customHeight="1" spans="1:7">
      <c r="A68" s="173" t="s">
        <v>248</v>
      </c>
      <c r="B68" s="173" t="s">
        <v>249</v>
      </c>
      <c r="C68" s="23">
        <v>192000</v>
      </c>
      <c r="D68" s="23"/>
      <c r="E68" s="23"/>
      <c r="F68" s="23"/>
      <c r="G68" s="23">
        <v>192000</v>
      </c>
    </row>
    <row r="69" ht="18.75" customHeight="1" spans="1:7">
      <c r="A69" s="123" t="s">
        <v>250</v>
      </c>
      <c r="B69" s="123" t="s">
        <v>251</v>
      </c>
      <c r="C69" s="23">
        <v>70000</v>
      </c>
      <c r="D69" s="23"/>
      <c r="E69" s="23"/>
      <c r="F69" s="23"/>
      <c r="G69" s="23">
        <v>70000</v>
      </c>
    </row>
    <row r="70" ht="18.75" customHeight="1" spans="1:7">
      <c r="A70" s="173" t="s">
        <v>252</v>
      </c>
      <c r="B70" s="173" t="s">
        <v>253</v>
      </c>
      <c r="C70" s="23">
        <v>70000</v>
      </c>
      <c r="D70" s="23"/>
      <c r="E70" s="23"/>
      <c r="F70" s="23"/>
      <c r="G70" s="23">
        <v>70000</v>
      </c>
    </row>
    <row r="71" ht="18.75" customHeight="1" spans="1:7">
      <c r="A71" s="121" t="s">
        <v>99</v>
      </c>
      <c r="B71" s="121" t="s">
        <v>100</v>
      </c>
      <c r="C71" s="23">
        <v>598150.08</v>
      </c>
      <c r="D71" s="23">
        <v>598150.08</v>
      </c>
      <c r="E71" s="23">
        <v>598150.08</v>
      </c>
      <c r="F71" s="23"/>
      <c r="G71" s="23"/>
    </row>
    <row r="72" ht="18.75" customHeight="1" spans="1:7">
      <c r="A72" s="123" t="s">
        <v>254</v>
      </c>
      <c r="B72" s="123" t="s">
        <v>255</v>
      </c>
      <c r="C72" s="23">
        <v>598150.08</v>
      </c>
      <c r="D72" s="23">
        <v>598150.08</v>
      </c>
      <c r="E72" s="23">
        <v>598150.08</v>
      </c>
      <c r="F72" s="23"/>
      <c r="G72" s="23"/>
    </row>
    <row r="73" ht="18.75" customHeight="1" spans="1:7">
      <c r="A73" s="173" t="s">
        <v>256</v>
      </c>
      <c r="B73" s="173" t="s">
        <v>257</v>
      </c>
      <c r="C73" s="23">
        <v>598150.08</v>
      </c>
      <c r="D73" s="23">
        <v>598150.08</v>
      </c>
      <c r="E73" s="23">
        <v>598150.08</v>
      </c>
      <c r="F73" s="23"/>
      <c r="G73" s="23"/>
    </row>
    <row r="74" ht="18.75" customHeight="1" spans="1:7">
      <c r="A74" s="121" t="s">
        <v>101</v>
      </c>
      <c r="B74" s="121" t="s">
        <v>102</v>
      </c>
      <c r="C74" s="23">
        <v>9600</v>
      </c>
      <c r="D74" s="23">
        <v>9600</v>
      </c>
      <c r="E74" s="23">
        <v>9600</v>
      </c>
      <c r="F74" s="23"/>
      <c r="G74" s="23"/>
    </row>
    <row r="75" ht="18.75" customHeight="1" spans="1:7">
      <c r="A75" s="123" t="s">
        <v>258</v>
      </c>
      <c r="B75" s="123" t="s">
        <v>259</v>
      </c>
      <c r="C75" s="23">
        <v>9600</v>
      </c>
      <c r="D75" s="23">
        <v>9600</v>
      </c>
      <c r="E75" s="23">
        <v>9600</v>
      </c>
      <c r="F75" s="23"/>
      <c r="G75" s="23"/>
    </row>
    <row r="76" ht="18.75" customHeight="1" spans="1:7">
      <c r="A76" s="173" t="s">
        <v>260</v>
      </c>
      <c r="B76" s="173" t="s">
        <v>153</v>
      </c>
      <c r="C76" s="23">
        <v>9600</v>
      </c>
      <c r="D76" s="23">
        <v>9600</v>
      </c>
      <c r="E76" s="23">
        <v>9600</v>
      </c>
      <c r="F76" s="23"/>
      <c r="G76" s="23"/>
    </row>
    <row r="77" ht="18.75" customHeight="1" spans="1:7">
      <c r="A77" s="47" t="s">
        <v>55</v>
      </c>
      <c r="B77" s="47"/>
      <c r="C77" s="23">
        <v>12767081.84</v>
      </c>
      <c r="D77" s="23">
        <v>12143081.84</v>
      </c>
      <c r="E77" s="23">
        <v>11142499.66</v>
      </c>
      <c r="F77" s="23">
        <v>1000582.18</v>
      </c>
      <c r="G77" s="23">
        <v>624000</v>
      </c>
    </row>
  </sheetData>
  <mergeCells count="7">
    <mergeCell ref="A2:G2"/>
    <mergeCell ref="A3:E3"/>
    <mergeCell ref="A4:B4"/>
    <mergeCell ref="D4:F4"/>
    <mergeCell ref="A77:B77"/>
    <mergeCell ref="C4:C5"/>
    <mergeCell ref="G4:G5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L8"/>
  <sheetViews>
    <sheetView showZeros="0" workbookViewId="0">
      <selection activeCell="A1" sqref="A1"/>
    </sheetView>
  </sheetViews>
  <sheetFormatPr defaultColWidth="9.14285714285714" defaultRowHeight="14.25" customHeight="1" outlineLevelRow="7"/>
  <cols>
    <col min="1" max="12" width="23.847619047619" customWidth="1"/>
  </cols>
  <sheetData>
    <row r="1" customHeight="1" spans="1:12">
      <c r="A1" s="143"/>
      <c r="B1" s="143"/>
      <c r="C1" s="144"/>
      <c r="E1" s="59"/>
      <c r="F1" s="125"/>
      <c r="H1" s="125"/>
      <c r="J1" s="162"/>
      <c r="K1" s="162"/>
      <c r="L1" s="163" t="s">
        <v>261</v>
      </c>
    </row>
    <row r="2" ht="39" customHeight="1" spans="1:12">
      <c r="A2" s="145" t="s">
        <v>262</v>
      </c>
      <c r="B2" s="146"/>
      <c r="C2" s="147"/>
      <c r="D2" s="146"/>
      <c r="E2" s="147"/>
      <c r="F2" s="146"/>
      <c r="G2" s="147"/>
      <c r="H2" s="146"/>
      <c r="I2" s="147"/>
      <c r="J2" s="146"/>
      <c r="K2" s="146"/>
      <c r="L2" s="147"/>
    </row>
    <row r="3" ht="18.75" customHeight="1" spans="1:12">
      <c r="A3" s="148" t="str">
        <f>"单位名称："&amp;"耿马傣族佤族自治县四排山乡"</f>
        <v>单位名称：耿马傣族佤族自治县四排山乡</v>
      </c>
      <c r="B3" s="143"/>
      <c r="C3" s="144"/>
      <c r="D3" s="149"/>
      <c r="E3" s="59"/>
      <c r="F3" s="149"/>
      <c r="G3" s="149"/>
      <c r="H3" s="125"/>
      <c r="J3" s="162"/>
      <c r="K3" s="162"/>
      <c r="L3" s="163" t="s">
        <v>263</v>
      </c>
    </row>
    <row r="4" ht="18.75" customHeight="1" spans="1:12">
      <c r="A4" s="150" t="s">
        <v>264</v>
      </c>
      <c r="B4" s="150" t="s">
        <v>265</v>
      </c>
      <c r="C4" s="63" t="s">
        <v>266</v>
      </c>
      <c r="D4" s="151"/>
      <c r="E4" s="63" t="s">
        <v>267</v>
      </c>
      <c r="F4" s="152"/>
      <c r="G4" s="152"/>
      <c r="H4" s="152"/>
      <c r="I4" s="152"/>
      <c r="J4" s="151"/>
      <c r="K4" s="63" t="s">
        <v>268</v>
      </c>
      <c r="L4" s="151" t="s">
        <v>268</v>
      </c>
    </row>
    <row r="5" ht="18.75" customHeight="1" spans="1:12">
      <c r="A5" s="153"/>
      <c r="B5" s="154"/>
      <c r="C5" s="154" t="s">
        <v>269</v>
      </c>
      <c r="D5" s="155" t="s">
        <v>270</v>
      </c>
      <c r="E5" s="63" t="s">
        <v>57</v>
      </c>
      <c r="F5" s="151"/>
      <c r="G5" s="63" t="s">
        <v>271</v>
      </c>
      <c r="H5" s="151"/>
      <c r="I5" s="63" t="s">
        <v>272</v>
      </c>
      <c r="J5" s="151"/>
      <c r="K5" s="154" t="s">
        <v>269</v>
      </c>
      <c r="L5" s="154" t="s">
        <v>270</v>
      </c>
    </row>
    <row r="6" ht="18.75" customHeight="1" spans="1:12">
      <c r="A6" s="156"/>
      <c r="B6" s="156"/>
      <c r="C6" s="157"/>
      <c r="D6" s="156"/>
      <c r="E6" s="158" t="s">
        <v>269</v>
      </c>
      <c r="F6" s="159" t="s">
        <v>270</v>
      </c>
      <c r="G6" s="160" t="s">
        <v>269</v>
      </c>
      <c r="H6" s="159" t="s">
        <v>270</v>
      </c>
      <c r="I6" s="160" t="s">
        <v>269</v>
      </c>
      <c r="J6" s="159" t="s">
        <v>270</v>
      </c>
      <c r="K6" s="156"/>
      <c r="L6" s="156"/>
    </row>
    <row r="7" ht="18.75" customHeight="1" spans="1:12">
      <c r="A7" s="19">
        <v>1</v>
      </c>
      <c r="B7" s="18">
        <v>2</v>
      </c>
      <c r="C7" s="18">
        <v>3</v>
      </c>
      <c r="D7" s="161">
        <v>4</v>
      </c>
      <c r="E7" s="161">
        <v>5</v>
      </c>
      <c r="F7" s="161">
        <v>6</v>
      </c>
      <c r="G7" s="161">
        <v>7</v>
      </c>
      <c r="H7" s="161">
        <v>8</v>
      </c>
      <c r="I7" s="161">
        <v>9</v>
      </c>
      <c r="J7" s="18">
        <v>10</v>
      </c>
      <c r="K7" s="18">
        <v>11</v>
      </c>
      <c r="L7" s="18">
        <v>12</v>
      </c>
    </row>
    <row r="8" ht="18.75" customHeight="1" spans="1:12">
      <c r="A8" s="23">
        <v>62000</v>
      </c>
      <c r="B8" s="23">
        <v>62000</v>
      </c>
      <c r="C8" s="23"/>
      <c r="D8" s="23"/>
      <c r="E8" s="23">
        <v>60000</v>
      </c>
      <c r="F8" s="23">
        <v>60000</v>
      </c>
      <c r="G8" s="23"/>
      <c r="H8" s="23"/>
      <c r="I8" s="23">
        <v>60000</v>
      </c>
      <c r="J8" s="23">
        <v>60000</v>
      </c>
      <c r="K8" s="23">
        <v>2000</v>
      </c>
      <c r="L8" s="23">
        <v>2000</v>
      </c>
    </row>
  </sheetData>
  <mergeCells count="14">
    <mergeCell ref="A2:L2"/>
    <mergeCell ref="A3:E3"/>
    <mergeCell ref="C4:D4"/>
    <mergeCell ref="E4:J4"/>
    <mergeCell ref="K4:L4"/>
    <mergeCell ref="E5:F5"/>
    <mergeCell ref="G5:H5"/>
    <mergeCell ref="I5:J5"/>
    <mergeCell ref="A4:A6"/>
    <mergeCell ref="B4:B6"/>
    <mergeCell ref="C5:C6"/>
    <mergeCell ref="D5:D6"/>
    <mergeCell ref="K5:K6"/>
    <mergeCell ref="L5:L6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W147"/>
  <sheetViews>
    <sheetView showZeros="0" workbookViewId="0">
      <selection activeCell="A1" sqref="A1"/>
    </sheetView>
  </sheetViews>
  <sheetFormatPr defaultColWidth="9.14285714285714" defaultRowHeight="14.25" customHeight="1"/>
  <cols>
    <col min="1" max="1" width="32.847619047619" customWidth="1"/>
    <col min="2" max="2" width="25.4190476190476" customWidth="1"/>
    <col min="3" max="3" width="26.5714285714286" customWidth="1"/>
    <col min="4" max="4" width="10.1428571428571" customWidth="1"/>
    <col min="5" max="5" width="17.5714285714286" customWidth="1"/>
    <col min="6" max="6" width="10.2857142857143" customWidth="1"/>
    <col min="7" max="7" width="23" customWidth="1"/>
    <col min="8" max="21" width="19.847619047619" customWidth="1"/>
    <col min="22" max="23" width="20" customWidth="1"/>
  </cols>
  <sheetData>
    <row r="1" ht="18.75" customHeight="1" spans="2:23">
      <c r="B1" s="132"/>
      <c r="D1" s="133"/>
      <c r="E1" s="133"/>
      <c r="F1" s="133"/>
      <c r="G1" s="133"/>
      <c r="H1" s="65"/>
      <c r="I1" s="65"/>
      <c r="J1" s="65"/>
      <c r="K1" s="65"/>
      <c r="L1" s="65"/>
      <c r="M1" s="65"/>
      <c r="N1" s="2"/>
      <c r="O1" s="2"/>
      <c r="P1" s="2"/>
      <c r="Q1" s="65"/>
      <c r="U1" s="132"/>
      <c r="W1" s="33" t="s">
        <v>273</v>
      </c>
    </row>
    <row r="2" ht="39.75" customHeight="1" spans="1:23">
      <c r="A2" s="134" t="str">
        <f>"2025"&amp;"年部门基本支出预算表"</f>
        <v>2025年部门基本支出预算表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5"/>
      <c r="O2" s="5"/>
      <c r="P2" s="5"/>
      <c r="Q2" s="68"/>
      <c r="R2" s="68"/>
      <c r="S2" s="68"/>
      <c r="T2" s="68"/>
      <c r="U2" s="68"/>
      <c r="V2" s="68"/>
      <c r="W2" s="68"/>
    </row>
    <row r="3" ht="18.75" customHeight="1" spans="1:23">
      <c r="A3" s="6" t="str">
        <f>"单位名称："&amp;"耿马傣族佤族自治县四排山乡"</f>
        <v>单位名称：耿马傣族佤族自治县四排山乡</v>
      </c>
      <c r="B3" s="135"/>
      <c r="C3" s="135"/>
      <c r="D3" s="135"/>
      <c r="E3" s="135"/>
      <c r="F3" s="135"/>
      <c r="G3" s="135"/>
      <c r="H3" s="70"/>
      <c r="I3" s="70"/>
      <c r="J3" s="70"/>
      <c r="K3" s="70"/>
      <c r="L3" s="70"/>
      <c r="M3" s="70"/>
      <c r="N3" s="8"/>
      <c r="O3" s="8"/>
      <c r="P3" s="8"/>
      <c r="Q3" s="70"/>
      <c r="U3" s="132"/>
      <c r="W3" s="33" t="s">
        <v>263</v>
      </c>
    </row>
    <row r="4" ht="18.75" customHeight="1" spans="1:23">
      <c r="A4" s="9" t="s">
        <v>274</v>
      </c>
      <c r="B4" s="9" t="s">
        <v>275</v>
      </c>
      <c r="C4" s="9" t="s">
        <v>276</v>
      </c>
      <c r="D4" s="9" t="s">
        <v>277</v>
      </c>
      <c r="E4" s="9" t="s">
        <v>278</v>
      </c>
      <c r="F4" s="9" t="s">
        <v>279</v>
      </c>
      <c r="G4" s="9" t="s">
        <v>280</v>
      </c>
      <c r="H4" s="136" t="s">
        <v>281</v>
      </c>
      <c r="I4" s="88" t="s">
        <v>281</v>
      </c>
      <c r="J4" s="88"/>
      <c r="K4" s="88"/>
      <c r="L4" s="88"/>
      <c r="M4" s="88"/>
      <c r="N4" s="12"/>
      <c r="O4" s="12"/>
      <c r="P4" s="12"/>
      <c r="Q4" s="73" t="s">
        <v>61</v>
      </c>
      <c r="R4" s="88" t="s">
        <v>77</v>
      </c>
      <c r="S4" s="88"/>
      <c r="T4" s="88"/>
      <c r="U4" s="88"/>
      <c r="V4" s="88"/>
      <c r="W4" s="140"/>
    </row>
    <row r="5" ht="18.75" customHeight="1" spans="1:23">
      <c r="A5" s="14"/>
      <c r="B5" s="131"/>
      <c r="C5" s="14"/>
      <c r="D5" s="14"/>
      <c r="E5" s="14"/>
      <c r="F5" s="14"/>
      <c r="G5" s="14"/>
      <c r="H5" s="107" t="s">
        <v>282</v>
      </c>
      <c r="I5" s="136" t="s">
        <v>58</v>
      </c>
      <c r="J5" s="88"/>
      <c r="K5" s="88"/>
      <c r="L5" s="88"/>
      <c r="M5" s="140"/>
      <c r="N5" s="11" t="s">
        <v>283</v>
      </c>
      <c r="O5" s="12"/>
      <c r="P5" s="13"/>
      <c r="Q5" s="9" t="s">
        <v>61</v>
      </c>
      <c r="R5" s="136" t="s">
        <v>77</v>
      </c>
      <c r="S5" s="73" t="s">
        <v>64</v>
      </c>
      <c r="T5" s="88" t="s">
        <v>77</v>
      </c>
      <c r="U5" s="73" t="s">
        <v>66</v>
      </c>
      <c r="V5" s="73" t="s">
        <v>67</v>
      </c>
      <c r="W5" s="142" t="s">
        <v>68</v>
      </c>
    </row>
    <row r="6" ht="18.75" customHeight="1" spans="1:23">
      <c r="A6" s="28"/>
      <c r="B6" s="28"/>
      <c r="C6" s="28"/>
      <c r="D6" s="28"/>
      <c r="E6" s="28"/>
      <c r="F6" s="28"/>
      <c r="G6" s="28"/>
      <c r="H6" s="28"/>
      <c r="I6" s="141" t="s">
        <v>284</v>
      </c>
      <c r="J6" s="9" t="s">
        <v>285</v>
      </c>
      <c r="K6" s="9" t="s">
        <v>286</v>
      </c>
      <c r="L6" s="9" t="s">
        <v>287</v>
      </c>
      <c r="M6" s="9" t="s">
        <v>288</v>
      </c>
      <c r="N6" s="9" t="s">
        <v>58</v>
      </c>
      <c r="O6" s="9" t="s">
        <v>59</v>
      </c>
      <c r="P6" s="9" t="s">
        <v>60</v>
      </c>
      <c r="Q6" s="28"/>
      <c r="R6" s="9" t="s">
        <v>57</v>
      </c>
      <c r="S6" s="9" t="s">
        <v>64</v>
      </c>
      <c r="T6" s="9" t="s">
        <v>289</v>
      </c>
      <c r="U6" s="9" t="s">
        <v>66</v>
      </c>
      <c r="V6" s="9" t="s">
        <v>67</v>
      </c>
      <c r="W6" s="9" t="s">
        <v>68</v>
      </c>
    </row>
    <row r="7" ht="18.75" customHeight="1" spans="1:23">
      <c r="A7" s="110"/>
      <c r="B7" s="110"/>
      <c r="C7" s="110"/>
      <c r="D7" s="110"/>
      <c r="E7" s="110"/>
      <c r="F7" s="110"/>
      <c r="G7" s="110"/>
      <c r="H7" s="110"/>
      <c r="I7" s="92"/>
      <c r="J7" s="16" t="s">
        <v>290</v>
      </c>
      <c r="K7" s="16" t="s">
        <v>286</v>
      </c>
      <c r="L7" s="16" t="s">
        <v>287</v>
      </c>
      <c r="M7" s="16" t="s">
        <v>288</v>
      </c>
      <c r="N7" s="16" t="s">
        <v>286</v>
      </c>
      <c r="O7" s="16" t="s">
        <v>287</v>
      </c>
      <c r="P7" s="16" t="s">
        <v>288</v>
      </c>
      <c r="Q7" s="16" t="s">
        <v>61</v>
      </c>
      <c r="R7" s="16" t="s">
        <v>57</v>
      </c>
      <c r="S7" s="16" t="s">
        <v>64</v>
      </c>
      <c r="T7" s="16" t="s">
        <v>289</v>
      </c>
      <c r="U7" s="16" t="s">
        <v>66</v>
      </c>
      <c r="V7" s="16" t="s">
        <v>67</v>
      </c>
      <c r="W7" s="16" t="s">
        <v>68</v>
      </c>
    </row>
    <row r="8" ht="18.75" customHeight="1" spans="1:23">
      <c r="A8" s="137">
        <v>1</v>
      </c>
      <c r="B8" s="137">
        <v>2</v>
      </c>
      <c r="C8" s="137">
        <v>3</v>
      </c>
      <c r="D8" s="137">
        <v>4</v>
      </c>
      <c r="E8" s="137">
        <v>5</v>
      </c>
      <c r="F8" s="137">
        <v>6</v>
      </c>
      <c r="G8" s="137">
        <v>7</v>
      </c>
      <c r="H8" s="137">
        <v>8</v>
      </c>
      <c r="I8" s="137">
        <v>9</v>
      </c>
      <c r="J8" s="137">
        <v>10</v>
      </c>
      <c r="K8" s="137">
        <v>11</v>
      </c>
      <c r="L8" s="137">
        <v>12</v>
      </c>
      <c r="M8" s="137">
        <v>13</v>
      </c>
      <c r="N8" s="137">
        <v>14</v>
      </c>
      <c r="O8" s="137">
        <v>15</v>
      </c>
      <c r="P8" s="137">
        <v>16</v>
      </c>
      <c r="Q8" s="137">
        <v>17</v>
      </c>
      <c r="R8" s="137">
        <v>18</v>
      </c>
      <c r="S8" s="137">
        <v>19</v>
      </c>
      <c r="T8" s="137">
        <v>20</v>
      </c>
      <c r="U8" s="137">
        <v>21</v>
      </c>
      <c r="V8" s="137">
        <v>22</v>
      </c>
      <c r="W8" s="137">
        <v>23</v>
      </c>
    </row>
    <row r="9" ht="18.75" customHeight="1" spans="1:23">
      <c r="A9" s="138" t="s">
        <v>291</v>
      </c>
      <c r="B9" s="138"/>
      <c r="C9" s="138"/>
      <c r="D9" s="138"/>
      <c r="E9" s="138"/>
      <c r="F9" s="138"/>
      <c r="G9" s="138"/>
      <c r="H9" s="23">
        <v>12143081.84</v>
      </c>
      <c r="I9" s="23">
        <v>12143081.84</v>
      </c>
      <c r="J9" s="23"/>
      <c r="K9" s="23"/>
      <c r="L9" s="23">
        <v>12143081.84</v>
      </c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</row>
    <row r="10" ht="18.75" customHeight="1" spans="1:23">
      <c r="A10" s="139" t="s">
        <v>70</v>
      </c>
      <c r="B10" s="20"/>
      <c r="C10" s="20"/>
      <c r="D10" s="20"/>
      <c r="E10" s="20"/>
      <c r="F10" s="20"/>
      <c r="G10" s="20"/>
      <c r="H10" s="23">
        <v>12143081.84</v>
      </c>
      <c r="I10" s="23">
        <v>12143081.84</v>
      </c>
      <c r="J10" s="23"/>
      <c r="K10" s="23"/>
      <c r="L10" s="23">
        <v>12143081.84</v>
      </c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</row>
    <row r="11" ht="18.75" customHeight="1" spans="1:23">
      <c r="A11" s="25"/>
      <c r="B11" s="20" t="s">
        <v>292</v>
      </c>
      <c r="C11" s="20" t="s">
        <v>293</v>
      </c>
      <c r="D11" s="20" t="s">
        <v>152</v>
      </c>
      <c r="E11" s="20" t="s">
        <v>153</v>
      </c>
      <c r="F11" s="20" t="s">
        <v>294</v>
      </c>
      <c r="G11" s="20" t="s">
        <v>295</v>
      </c>
      <c r="H11" s="23">
        <v>48408</v>
      </c>
      <c r="I11" s="23">
        <v>48408</v>
      </c>
      <c r="J11" s="23"/>
      <c r="K11" s="23"/>
      <c r="L11" s="23">
        <v>48408</v>
      </c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</row>
    <row r="12" ht="18.75" customHeight="1" spans="1:23">
      <c r="A12" s="25"/>
      <c r="B12" s="20" t="s">
        <v>292</v>
      </c>
      <c r="C12" s="20" t="s">
        <v>293</v>
      </c>
      <c r="D12" s="20" t="s">
        <v>158</v>
      </c>
      <c r="E12" s="20" t="s">
        <v>153</v>
      </c>
      <c r="F12" s="20" t="s">
        <v>294</v>
      </c>
      <c r="G12" s="20" t="s">
        <v>295</v>
      </c>
      <c r="H12" s="23">
        <v>503856</v>
      </c>
      <c r="I12" s="23">
        <v>503856</v>
      </c>
      <c r="J12" s="23"/>
      <c r="K12" s="23"/>
      <c r="L12" s="23">
        <v>503856</v>
      </c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</row>
    <row r="13" ht="18.75" customHeight="1" spans="1:23">
      <c r="A13" s="25"/>
      <c r="B13" s="20" t="s">
        <v>292</v>
      </c>
      <c r="C13" s="20" t="s">
        <v>293</v>
      </c>
      <c r="D13" s="20" t="s">
        <v>172</v>
      </c>
      <c r="E13" s="20" t="s">
        <v>153</v>
      </c>
      <c r="F13" s="20" t="s">
        <v>294</v>
      </c>
      <c r="G13" s="20" t="s">
        <v>295</v>
      </c>
      <c r="H13" s="23">
        <v>36012</v>
      </c>
      <c r="I13" s="23">
        <v>36012</v>
      </c>
      <c r="J13" s="23"/>
      <c r="K13" s="23"/>
      <c r="L13" s="23">
        <v>36012</v>
      </c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</row>
    <row r="14" ht="18.75" customHeight="1" spans="1:23">
      <c r="A14" s="25"/>
      <c r="B14" s="20" t="s">
        <v>292</v>
      </c>
      <c r="C14" s="20" t="s">
        <v>293</v>
      </c>
      <c r="D14" s="20" t="s">
        <v>178</v>
      </c>
      <c r="E14" s="20" t="s">
        <v>153</v>
      </c>
      <c r="F14" s="20" t="s">
        <v>294</v>
      </c>
      <c r="G14" s="20" t="s">
        <v>295</v>
      </c>
      <c r="H14" s="23">
        <v>229740</v>
      </c>
      <c r="I14" s="23">
        <v>229740</v>
      </c>
      <c r="J14" s="23"/>
      <c r="K14" s="23"/>
      <c r="L14" s="23">
        <v>229740</v>
      </c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</row>
    <row r="15" ht="18.75" customHeight="1" spans="1:23">
      <c r="A15" s="25"/>
      <c r="B15" s="20" t="s">
        <v>292</v>
      </c>
      <c r="C15" s="20" t="s">
        <v>293</v>
      </c>
      <c r="D15" s="20" t="s">
        <v>189</v>
      </c>
      <c r="E15" s="20" t="s">
        <v>153</v>
      </c>
      <c r="F15" s="20" t="s">
        <v>294</v>
      </c>
      <c r="G15" s="20" t="s">
        <v>295</v>
      </c>
      <c r="H15" s="23">
        <v>69312</v>
      </c>
      <c r="I15" s="23">
        <v>69312</v>
      </c>
      <c r="J15" s="23"/>
      <c r="K15" s="23"/>
      <c r="L15" s="23">
        <v>69312</v>
      </c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</row>
    <row r="16" ht="18.75" customHeight="1" spans="1:23">
      <c r="A16" s="25"/>
      <c r="B16" s="20" t="s">
        <v>296</v>
      </c>
      <c r="C16" s="20" t="s">
        <v>297</v>
      </c>
      <c r="D16" s="20" t="s">
        <v>181</v>
      </c>
      <c r="E16" s="20" t="s">
        <v>182</v>
      </c>
      <c r="F16" s="20" t="s">
        <v>294</v>
      </c>
      <c r="G16" s="20" t="s">
        <v>295</v>
      </c>
      <c r="H16" s="23">
        <v>243000</v>
      </c>
      <c r="I16" s="23">
        <v>243000</v>
      </c>
      <c r="J16" s="23"/>
      <c r="K16" s="23"/>
      <c r="L16" s="23">
        <v>243000</v>
      </c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</row>
    <row r="17" ht="18.75" customHeight="1" spans="1:23">
      <c r="A17" s="25"/>
      <c r="B17" s="20" t="s">
        <v>296</v>
      </c>
      <c r="C17" s="20" t="s">
        <v>297</v>
      </c>
      <c r="D17" s="20" t="s">
        <v>238</v>
      </c>
      <c r="E17" s="20" t="s">
        <v>239</v>
      </c>
      <c r="F17" s="20" t="s">
        <v>294</v>
      </c>
      <c r="G17" s="20" t="s">
        <v>295</v>
      </c>
      <c r="H17" s="23">
        <v>282756</v>
      </c>
      <c r="I17" s="23">
        <v>282756</v>
      </c>
      <c r="J17" s="23"/>
      <c r="K17" s="23"/>
      <c r="L17" s="23">
        <v>282756</v>
      </c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</row>
    <row r="18" ht="18.75" customHeight="1" spans="1:23">
      <c r="A18" s="25"/>
      <c r="B18" s="20" t="s">
        <v>296</v>
      </c>
      <c r="C18" s="20" t="s">
        <v>297</v>
      </c>
      <c r="D18" s="20" t="s">
        <v>245</v>
      </c>
      <c r="E18" s="20" t="s">
        <v>182</v>
      </c>
      <c r="F18" s="20" t="s">
        <v>294</v>
      </c>
      <c r="G18" s="20" t="s">
        <v>295</v>
      </c>
      <c r="H18" s="23">
        <v>612468</v>
      </c>
      <c r="I18" s="23">
        <v>612468</v>
      </c>
      <c r="J18" s="23"/>
      <c r="K18" s="23"/>
      <c r="L18" s="23">
        <v>612468</v>
      </c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</row>
    <row r="19" ht="18.75" customHeight="1" spans="1:23">
      <c r="A19" s="25"/>
      <c r="B19" s="20" t="s">
        <v>292</v>
      </c>
      <c r="C19" s="20" t="s">
        <v>293</v>
      </c>
      <c r="D19" s="20" t="s">
        <v>152</v>
      </c>
      <c r="E19" s="20" t="s">
        <v>153</v>
      </c>
      <c r="F19" s="20" t="s">
        <v>298</v>
      </c>
      <c r="G19" s="20" t="s">
        <v>299</v>
      </c>
      <c r="H19" s="23">
        <v>12900</v>
      </c>
      <c r="I19" s="23">
        <v>12900</v>
      </c>
      <c r="J19" s="23"/>
      <c r="K19" s="23"/>
      <c r="L19" s="23">
        <v>12900</v>
      </c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</row>
    <row r="20" ht="18.75" customHeight="1" spans="1:23">
      <c r="A20" s="25"/>
      <c r="B20" s="20" t="s">
        <v>292</v>
      </c>
      <c r="C20" s="20" t="s">
        <v>293</v>
      </c>
      <c r="D20" s="20" t="s">
        <v>158</v>
      </c>
      <c r="E20" s="20" t="s">
        <v>153</v>
      </c>
      <c r="F20" s="20" t="s">
        <v>298</v>
      </c>
      <c r="G20" s="20" t="s">
        <v>299</v>
      </c>
      <c r="H20" s="23">
        <v>154200</v>
      </c>
      <c r="I20" s="23">
        <v>154200</v>
      </c>
      <c r="J20" s="23"/>
      <c r="K20" s="23"/>
      <c r="L20" s="23">
        <v>154200</v>
      </c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</row>
    <row r="21" ht="18.75" customHeight="1" spans="1:23">
      <c r="A21" s="25"/>
      <c r="B21" s="20" t="s">
        <v>292</v>
      </c>
      <c r="C21" s="20" t="s">
        <v>293</v>
      </c>
      <c r="D21" s="20" t="s">
        <v>172</v>
      </c>
      <c r="E21" s="20" t="s">
        <v>153</v>
      </c>
      <c r="F21" s="20" t="s">
        <v>298</v>
      </c>
      <c r="G21" s="20" t="s">
        <v>299</v>
      </c>
      <c r="H21" s="23">
        <v>11400</v>
      </c>
      <c r="I21" s="23">
        <v>11400</v>
      </c>
      <c r="J21" s="23"/>
      <c r="K21" s="23"/>
      <c r="L21" s="23">
        <v>11400</v>
      </c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</row>
    <row r="22" ht="18.75" customHeight="1" spans="1:23">
      <c r="A22" s="25"/>
      <c r="B22" s="20" t="s">
        <v>292</v>
      </c>
      <c r="C22" s="20" t="s">
        <v>293</v>
      </c>
      <c r="D22" s="20" t="s">
        <v>178</v>
      </c>
      <c r="E22" s="20" t="s">
        <v>153</v>
      </c>
      <c r="F22" s="20" t="s">
        <v>298</v>
      </c>
      <c r="G22" s="20" t="s">
        <v>299</v>
      </c>
      <c r="H22" s="23">
        <v>66300</v>
      </c>
      <c r="I22" s="23">
        <v>66300</v>
      </c>
      <c r="J22" s="23"/>
      <c r="K22" s="23"/>
      <c r="L22" s="23">
        <v>66300</v>
      </c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</row>
    <row r="23" ht="18.75" customHeight="1" spans="1:23">
      <c r="A23" s="25"/>
      <c r="B23" s="20" t="s">
        <v>292</v>
      </c>
      <c r="C23" s="20" t="s">
        <v>293</v>
      </c>
      <c r="D23" s="20" t="s">
        <v>189</v>
      </c>
      <c r="E23" s="20" t="s">
        <v>153</v>
      </c>
      <c r="F23" s="20" t="s">
        <v>298</v>
      </c>
      <c r="G23" s="20" t="s">
        <v>299</v>
      </c>
      <c r="H23" s="23">
        <v>20700</v>
      </c>
      <c r="I23" s="23">
        <v>20700</v>
      </c>
      <c r="J23" s="23"/>
      <c r="K23" s="23"/>
      <c r="L23" s="23">
        <v>20700</v>
      </c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</row>
    <row r="24" ht="18.75" customHeight="1" spans="1:23">
      <c r="A24" s="25"/>
      <c r="B24" s="20" t="s">
        <v>300</v>
      </c>
      <c r="C24" s="20" t="s">
        <v>301</v>
      </c>
      <c r="D24" s="20" t="s">
        <v>152</v>
      </c>
      <c r="E24" s="20" t="s">
        <v>153</v>
      </c>
      <c r="F24" s="20" t="s">
        <v>298</v>
      </c>
      <c r="G24" s="20" t="s">
        <v>299</v>
      </c>
      <c r="H24" s="23">
        <v>6000</v>
      </c>
      <c r="I24" s="23">
        <v>6000</v>
      </c>
      <c r="J24" s="23"/>
      <c r="K24" s="23"/>
      <c r="L24" s="23">
        <v>6000</v>
      </c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</row>
    <row r="25" ht="18.75" customHeight="1" spans="1:23">
      <c r="A25" s="25"/>
      <c r="B25" s="20" t="s">
        <v>300</v>
      </c>
      <c r="C25" s="20" t="s">
        <v>301</v>
      </c>
      <c r="D25" s="20" t="s">
        <v>158</v>
      </c>
      <c r="E25" s="20" t="s">
        <v>153</v>
      </c>
      <c r="F25" s="20" t="s">
        <v>298</v>
      </c>
      <c r="G25" s="20" t="s">
        <v>299</v>
      </c>
      <c r="H25" s="23">
        <v>84000</v>
      </c>
      <c r="I25" s="23">
        <v>84000</v>
      </c>
      <c r="J25" s="23"/>
      <c r="K25" s="23"/>
      <c r="L25" s="23">
        <v>84000</v>
      </c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</row>
    <row r="26" ht="18.75" customHeight="1" spans="1:23">
      <c r="A26" s="25"/>
      <c r="B26" s="20" t="s">
        <v>300</v>
      </c>
      <c r="C26" s="20" t="s">
        <v>301</v>
      </c>
      <c r="D26" s="20" t="s">
        <v>172</v>
      </c>
      <c r="E26" s="20" t="s">
        <v>153</v>
      </c>
      <c r="F26" s="20" t="s">
        <v>298</v>
      </c>
      <c r="G26" s="20" t="s">
        <v>299</v>
      </c>
      <c r="H26" s="23">
        <v>6000</v>
      </c>
      <c r="I26" s="23">
        <v>6000</v>
      </c>
      <c r="J26" s="23"/>
      <c r="K26" s="23"/>
      <c r="L26" s="23">
        <v>6000</v>
      </c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</row>
    <row r="27" ht="18.75" customHeight="1" spans="1:23">
      <c r="A27" s="25"/>
      <c r="B27" s="20" t="s">
        <v>300</v>
      </c>
      <c r="C27" s="20" t="s">
        <v>301</v>
      </c>
      <c r="D27" s="20" t="s">
        <v>178</v>
      </c>
      <c r="E27" s="20" t="s">
        <v>153</v>
      </c>
      <c r="F27" s="20" t="s">
        <v>298</v>
      </c>
      <c r="G27" s="20" t="s">
        <v>299</v>
      </c>
      <c r="H27" s="23">
        <v>36000</v>
      </c>
      <c r="I27" s="23">
        <v>36000</v>
      </c>
      <c r="J27" s="23"/>
      <c r="K27" s="23"/>
      <c r="L27" s="23">
        <v>36000</v>
      </c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</row>
    <row r="28" ht="18.75" customHeight="1" spans="1:23">
      <c r="A28" s="25"/>
      <c r="B28" s="20" t="s">
        <v>300</v>
      </c>
      <c r="C28" s="20" t="s">
        <v>301</v>
      </c>
      <c r="D28" s="20" t="s">
        <v>189</v>
      </c>
      <c r="E28" s="20" t="s">
        <v>153</v>
      </c>
      <c r="F28" s="20" t="s">
        <v>298</v>
      </c>
      <c r="G28" s="20" t="s">
        <v>299</v>
      </c>
      <c r="H28" s="23">
        <v>12000</v>
      </c>
      <c r="I28" s="23">
        <v>12000</v>
      </c>
      <c r="J28" s="23"/>
      <c r="K28" s="23"/>
      <c r="L28" s="23">
        <v>12000</v>
      </c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</row>
    <row r="29" ht="18.75" customHeight="1" spans="1:23">
      <c r="A29" s="25"/>
      <c r="B29" s="20" t="s">
        <v>292</v>
      </c>
      <c r="C29" s="20" t="s">
        <v>293</v>
      </c>
      <c r="D29" s="20" t="s">
        <v>152</v>
      </c>
      <c r="E29" s="20" t="s">
        <v>153</v>
      </c>
      <c r="F29" s="20" t="s">
        <v>298</v>
      </c>
      <c r="G29" s="20" t="s">
        <v>299</v>
      </c>
      <c r="H29" s="23">
        <v>50160</v>
      </c>
      <c r="I29" s="23">
        <v>50160</v>
      </c>
      <c r="J29" s="23"/>
      <c r="K29" s="23"/>
      <c r="L29" s="23">
        <v>50160</v>
      </c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</row>
    <row r="30" ht="18.75" customHeight="1" spans="1:23">
      <c r="A30" s="25"/>
      <c r="B30" s="20" t="s">
        <v>292</v>
      </c>
      <c r="C30" s="20" t="s">
        <v>293</v>
      </c>
      <c r="D30" s="20" t="s">
        <v>158</v>
      </c>
      <c r="E30" s="20" t="s">
        <v>153</v>
      </c>
      <c r="F30" s="20" t="s">
        <v>298</v>
      </c>
      <c r="G30" s="20" t="s">
        <v>299</v>
      </c>
      <c r="H30" s="23">
        <v>652476</v>
      </c>
      <c r="I30" s="23">
        <v>652476</v>
      </c>
      <c r="J30" s="23"/>
      <c r="K30" s="23"/>
      <c r="L30" s="23">
        <v>652476</v>
      </c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</row>
    <row r="31" ht="18.75" customHeight="1" spans="1:23">
      <c r="A31" s="25"/>
      <c r="B31" s="20" t="s">
        <v>292</v>
      </c>
      <c r="C31" s="20" t="s">
        <v>293</v>
      </c>
      <c r="D31" s="20" t="s">
        <v>172</v>
      </c>
      <c r="E31" s="20" t="s">
        <v>153</v>
      </c>
      <c r="F31" s="20" t="s">
        <v>298</v>
      </c>
      <c r="G31" s="20" t="s">
        <v>299</v>
      </c>
      <c r="H31" s="23">
        <v>46812</v>
      </c>
      <c r="I31" s="23">
        <v>46812</v>
      </c>
      <c r="J31" s="23"/>
      <c r="K31" s="23"/>
      <c r="L31" s="23">
        <v>46812</v>
      </c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</row>
    <row r="32" ht="18.75" customHeight="1" spans="1:23">
      <c r="A32" s="25"/>
      <c r="B32" s="20" t="s">
        <v>292</v>
      </c>
      <c r="C32" s="20" t="s">
        <v>293</v>
      </c>
      <c r="D32" s="20" t="s">
        <v>178</v>
      </c>
      <c r="E32" s="20" t="s">
        <v>153</v>
      </c>
      <c r="F32" s="20" t="s">
        <v>298</v>
      </c>
      <c r="G32" s="20" t="s">
        <v>299</v>
      </c>
      <c r="H32" s="23">
        <v>285348</v>
      </c>
      <c r="I32" s="23">
        <v>285348</v>
      </c>
      <c r="J32" s="23"/>
      <c r="K32" s="23"/>
      <c r="L32" s="23">
        <v>285348</v>
      </c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</row>
    <row r="33" ht="18.75" customHeight="1" spans="1:23">
      <c r="A33" s="25"/>
      <c r="B33" s="20" t="s">
        <v>292</v>
      </c>
      <c r="C33" s="20" t="s">
        <v>293</v>
      </c>
      <c r="D33" s="20" t="s">
        <v>189</v>
      </c>
      <c r="E33" s="20" t="s">
        <v>153</v>
      </c>
      <c r="F33" s="20" t="s">
        <v>298</v>
      </c>
      <c r="G33" s="20" t="s">
        <v>299</v>
      </c>
      <c r="H33" s="23">
        <v>93012</v>
      </c>
      <c r="I33" s="23">
        <v>93012</v>
      </c>
      <c r="J33" s="23"/>
      <c r="K33" s="23"/>
      <c r="L33" s="23">
        <v>93012</v>
      </c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</row>
    <row r="34" ht="18.75" customHeight="1" spans="1:23">
      <c r="A34" s="25"/>
      <c r="B34" s="20" t="s">
        <v>296</v>
      </c>
      <c r="C34" s="20" t="s">
        <v>297</v>
      </c>
      <c r="D34" s="20" t="s">
        <v>181</v>
      </c>
      <c r="E34" s="20" t="s">
        <v>182</v>
      </c>
      <c r="F34" s="20" t="s">
        <v>298</v>
      </c>
      <c r="G34" s="20" t="s">
        <v>299</v>
      </c>
      <c r="H34" s="23">
        <v>55896</v>
      </c>
      <c r="I34" s="23">
        <v>55896</v>
      </c>
      <c r="J34" s="23"/>
      <c r="K34" s="23"/>
      <c r="L34" s="23">
        <v>55896</v>
      </c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</row>
    <row r="35" ht="18.75" customHeight="1" spans="1:23">
      <c r="A35" s="25"/>
      <c r="B35" s="20" t="s">
        <v>296</v>
      </c>
      <c r="C35" s="20" t="s">
        <v>297</v>
      </c>
      <c r="D35" s="20" t="s">
        <v>238</v>
      </c>
      <c r="E35" s="20" t="s">
        <v>239</v>
      </c>
      <c r="F35" s="20" t="s">
        <v>298</v>
      </c>
      <c r="G35" s="20" t="s">
        <v>299</v>
      </c>
      <c r="H35" s="23">
        <v>53760</v>
      </c>
      <c r="I35" s="23">
        <v>53760</v>
      </c>
      <c r="J35" s="23"/>
      <c r="K35" s="23"/>
      <c r="L35" s="23">
        <v>53760</v>
      </c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</row>
    <row r="36" ht="18.75" customHeight="1" spans="1:23">
      <c r="A36" s="25"/>
      <c r="B36" s="20" t="s">
        <v>296</v>
      </c>
      <c r="C36" s="20" t="s">
        <v>297</v>
      </c>
      <c r="D36" s="20" t="s">
        <v>245</v>
      </c>
      <c r="E36" s="20" t="s">
        <v>182</v>
      </c>
      <c r="F36" s="20" t="s">
        <v>298</v>
      </c>
      <c r="G36" s="20" t="s">
        <v>299</v>
      </c>
      <c r="H36" s="23">
        <v>168156</v>
      </c>
      <c r="I36" s="23">
        <v>168156</v>
      </c>
      <c r="J36" s="23"/>
      <c r="K36" s="23"/>
      <c r="L36" s="23">
        <v>168156</v>
      </c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</row>
    <row r="37" ht="18.75" customHeight="1" spans="1:23">
      <c r="A37" s="25"/>
      <c r="B37" s="20" t="s">
        <v>302</v>
      </c>
      <c r="C37" s="20" t="s">
        <v>303</v>
      </c>
      <c r="D37" s="20" t="s">
        <v>181</v>
      </c>
      <c r="E37" s="20" t="s">
        <v>182</v>
      </c>
      <c r="F37" s="20" t="s">
        <v>298</v>
      </c>
      <c r="G37" s="20" t="s">
        <v>299</v>
      </c>
      <c r="H37" s="23">
        <v>42000</v>
      </c>
      <c r="I37" s="23">
        <v>42000</v>
      </c>
      <c r="J37" s="23"/>
      <c r="K37" s="23"/>
      <c r="L37" s="23">
        <v>42000</v>
      </c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</row>
    <row r="38" ht="18.75" customHeight="1" spans="1:23">
      <c r="A38" s="25"/>
      <c r="B38" s="20" t="s">
        <v>302</v>
      </c>
      <c r="C38" s="20" t="s">
        <v>303</v>
      </c>
      <c r="D38" s="20" t="s">
        <v>238</v>
      </c>
      <c r="E38" s="20" t="s">
        <v>239</v>
      </c>
      <c r="F38" s="20" t="s">
        <v>298</v>
      </c>
      <c r="G38" s="20" t="s">
        <v>299</v>
      </c>
      <c r="H38" s="23">
        <v>36000</v>
      </c>
      <c r="I38" s="23">
        <v>36000</v>
      </c>
      <c r="J38" s="23"/>
      <c r="K38" s="23"/>
      <c r="L38" s="23">
        <v>36000</v>
      </c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</row>
    <row r="39" ht="18.75" customHeight="1" spans="1:23">
      <c r="A39" s="25"/>
      <c r="B39" s="20" t="s">
        <v>302</v>
      </c>
      <c r="C39" s="20" t="s">
        <v>303</v>
      </c>
      <c r="D39" s="20" t="s">
        <v>245</v>
      </c>
      <c r="E39" s="20" t="s">
        <v>182</v>
      </c>
      <c r="F39" s="20" t="s">
        <v>298</v>
      </c>
      <c r="G39" s="20" t="s">
        <v>299</v>
      </c>
      <c r="H39" s="23">
        <v>96000</v>
      </c>
      <c r="I39" s="23">
        <v>96000</v>
      </c>
      <c r="J39" s="23"/>
      <c r="K39" s="23"/>
      <c r="L39" s="23">
        <v>96000</v>
      </c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</row>
    <row r="40" ht="18.75" customHeight="1" spans="1:23">
      <c r="A40" s="25"/>
      <c r="B40" s="20" t="s">
        <v>292</v>
      </c>
      <c r="C40" s="20" t="s">
        <v>293</v>
      </c>
      <c r="D40" s="20" t="s">
        <v>152</v>
      </c>
      <c r="E40" s="20" t="s">
        <v>153</v>
      </c>
      <c r="F40" s="20" t="s">
        <v>304</v>
      </c>
      <c r="G40" s="20" t="s">
        <v>305</v>
      </c>
      <c r="H40" s="23">
        <v>4034</v>
      </c>
      <c r="I40" s="23">
        <v>4034</v>
      </c>
      <c r="J40" s="23"/>
      <c r="K40" s="23"/>
      <c r="L40" s="23">
        <v>4034</v>
      </c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</row>
    <row r="41" ht="18.75" customHeight="1" spans="1:23">
      <c r="A41" s="25"/>
      <c r="B41" s="20" t="s">
        <v>292</v>
      </c>
      <c r="C41" s="20" t="s">
        <v>293</v>
      </c>
      <c r="D41" s="20" t="s">
        <v>158</v>
      </c>
      <c r="E41" s="20" t="s">
        <v>153</v>
      </c>
      <c r="F41" s="20" t="s">
        <v>304</v>
      </c>
      <c r="G41" s="20" t="s">
        <v>305</v>
      </c>
      <c r="H41" s="23">
        <v>41988</v>
      </c>
      <c r="I41" s="23">
        <v>41988</v>
      </c>
      <c r="J41" s="23"/>
      <c r="K41" s="23"/>
      <c r="L41" s="23">
        <v>41988</v>
      </c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</row>
    <row r="42" ht="18.75" customHeight="1" spans="1:23">
      <c r="A42" s="25"/>
      <c r="B42" s="20" t="s">
        <v>292</v>
      </c>
      <c r="C42" s="20" t="s">
        <v>293</v>
      </c>
      <c r="D42" s="20" t="s">
        <v>172</v>
      </c>
      <c r="E42" s="20" t="s">
        <v>153</v>
      </c>
      <c r="F42" s="20" t="s">
        <v>304</v>
      </c>
      <c r="G42" s="20" t="s">
        <v>305</v>
      </c>
      <c r="H42" s="23">
        <v>3001</v>
      </c>
      <c r="I42" s="23">
        <v>3001</v>
      </c>
      <c r="J42" s="23"/>
      <c r="K42" s="23"/>
      <c r="L42" s="23">
        <v>3001</v>
      </c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</row>
    <row r="43" ht="18.75" customHeight="1" spans="1:23">
      <c r="A43" s="25"/>
      <c r="B43" s="20" t="s">
        <v>292</v>
      </c>
      <c r="C43" s="20" t="s">
        <v>293</v>
      </c>
      <c r="D43" s="20" t="s">
        <v>178</v>
      </c>
      <c r="E43" s="20" t="s">
        <v>153</v>
      </c>
      <c r="F43" s="20" t="s">
        <v>304</v>
      </c>
      <c r="G43" s="20" t="s">
        <v>305</v>
      </c>
      <c r="H43" s="23">
        <v>19145</v>
      </c>
      <c r="I43" s="23">
        <v>19145</v>
      </c>
      <c r="J43" s="23"/>
      <c r="K43" s="23"/>
      <c r="L43" s="23">
        <v>19145</v>
      </c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</row>
    <row r="44" ht="18.75" customHeight="1" spans="1:23">
      <c r="A44" s="25"/>
      <c r="B44" s="20" t="s">
        <v>292</v>
      </c>
      <c r="C44" s="20" t="s">
        <v>293</v>
      </c>
      <c r="D44" s="20" t="s">
        <v>189</v>
      </c>
      <c r="E44" s="20" t="s">
        <v>153</v>
      </c>
      <c r="F44" s="20" t="s">
        <v>304</v>
      </c>
      <c r="G44" s="20" t="s">
        <v>305</v>
      </c>
      <c r="H44" s="23">
        <v>5776</v>
      </c>
      <c r="I44" s="23">
        <v>5776</v>
      </c>
      <c r="J44" s="23"/>
      <c r="K44" s="23"/>
      <c r="L44" s="23">
        <v>5776</v>
      </c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</row>
    <row r="45" ht="18.75" customHeight="1" spans="1:23">
      <c r="A45" s="25"/>
      <c r="B45" s="20" t="s">
        <v>306</v>
      </c>
      <c r="C45" s="20" t="s">
        <v>307</v>
      </c>
      <c r="D45" s="20" t="s">
        <v>152</v>
      </c>
      <c r="E45" s="20" t="s">
        <v>153</v>
      </c>
      <c r="F45" s="20" t="s">
        <v>304</v>
      </c>
      <c r="G45" s="20" t="s">
        <v>305</v>
      </c>
      <c r="H45" s="23">
        <v>21600</v>
      </c>
      <c r="I45" s="23">
        <v>21600</v>
      </c>
      <c r="J45" s="23"/>
      <c r="K45" s="23"/>
      <c r="L45" s="23">
        <v>21600</v>
      </c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</row>
    <row r="46" ht="18.75" customHeight="1" spans="1:23">
      <c r="A46" s="25"/>
      <c r="B46" s="20" t="s">
        <v>306</v>
      </c>
      <c r="C46" s="20" t="s">
        <v>307</v>
      </c>
      <c r="D46" s="20" t="s">
        <v>158</v>
      </c>
      <c r="E46" s="20" t="s">
        <v>153</v>
      </c>
      <c r="F46" s="20" t="s">
        <v>304</v>
      </c>
      <c r="G46" s="20" t="s">
        <v>305</v>
      </c>
      <c r="H46" s="23">
        <v>252420</v>
      </c>
      <c r="I46" s="23">
        <v>252420</v>
      </c>
      <c r="J46" s="23"/>
      <c r="K46" s="23"/>
      <c r="L46" s="23">
        <v>252420</v>
      </c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</row>
    <row r="47" ht="18.75" customHeight="1" spans="1:23">
      <c r="A47" s="25"/>
      <c r="B47" s="20" t="s">
        <v>306</v>
      </c>
      <c r="C47" s="20" t="s">
        <v>307</v>
      </c>
      <c r="D47" s="20" t="s">
        <v>172</v>
      </c>
      <c r="E47" s="20" t="s">
        <v>153</v>
      </c>
      <c r="F47" s="20" t="s">
        <v>304</v>
      </c>
      <c r="G47" s="20" t="s">
        <v>305</v>
      </c>
      <c r="H47" s="23">
        <v>18600</v>
      </c>
      <c r="I47" s="23">
        <v>18600</v>
      </c>
      <c r="J47" s="23"/>
      <c r="K47" s="23"/>
      <c r="L47" s="23">
        <v>18600</v>
      </c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</row>
    <row r="48" ht="18.75" customHeight="1" spans="1:23">
      <c r="A48" s="25"/>
      <c r="B48" s="20" t="s">
        <v>306</v>
      </c>
      <c r="C48" s="20" t="s">
        <v>307</v>
      </c>
      <c r="D48" s="20" t="s">
        <v>178</v>
      </c>
      <c r="E48" s="20" t="s">
        <v>153</v>
      </c>
      <c r="F48" s="20" t="s">
        <v>304</v>
      </c>
      <c r="G48" s="20" t="s">
        <v>305</v>
      </c>
      <c r="H48" s="23">
        <v>94680</v>
      </c>
      <c r="I48" s="23">
        <v>94680</v>
      </c>
      <c r="J48" s="23"/>
      <c r="K48" s="23"/>
      <c r="L48" s="23">
        <v>94680</v>
      </c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</row>
    <row r="49" ht="18.75" customHeight="1" spans="1:23">
      <c r="A49" s="25"/>
      <c r="B49" s="20" t="s">
        <v>306</v>
      </c>
      <c r="C49" s="20" t="s">
        <v>307</v>
      </c>
      <c r="D49" s="20" t="s">
        <v>189</v>
      </c>
      <c r="E49" s="20" t="s">
        <v>153</v>
      </c>
      <c r="F49" s="20" t="s">
        <v>304</v>
      </c>
      <c r="G49" s="20" t="s">
        <v>305</v>
      </c>
      <c r="H49" s="23">
        <v>17220</v>
      </c>
      <c r="I49" s="23">
        <v>17220</v>
      </c>
      <c r="J49" s="23"/>
      <c r="K49" s="23"/>
      <c r="L49" s="23">
        <v>17220</v>
      </c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</row>
    <row r="50" ht="18.75" customHeight="1" spans="1:23">
      <c r="A50" s="25"/>
      <c r="B50" s="20" t="s">
        <v>308</v>
      </c>
      <c r="C50" s="20" t="s">
        <v>309</v>
      </c>
      <c r="D50" s="20" t="s">
        <v>181</v>
      </c>
      <c r="E50" s="20" t="s">
        <v>182</v>
      </c>
      <c r="F50" s="20" t="s">
        <v>310</v>
      </c>
      <c r="G50" s="20" t="s">
        <v>311</v>
      </c>
      <c r="H50" s="23">
        <v>192864</v>
      </c>
      <c r="I50" s="23">
        <v>192864</v>
      </c>
      <c r="J50" s="23"/>
      <c r="K50" s="23"/>
      <c r="L50" s="23">
        <v>192864</v>
      </c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</row>
    <row r="51" ht="18.75" customHeight="1" spans="1:23">
      <c r="A51" s="25"/>
      <c r="B51" s="20" t="s">
        <v>308</v>
      </c>
      <c r="C51" s="20" t="s">
        <v>309</v>
      </c>
      <c r="D51" s="20" t="s">
        <v>238</v>
      </c>
      <c r="E51" s="20" t="s">
        <v>239</v>
      </c>
      <c r="F51" s="20" t="s">
        <v>310</v>
      </c>
      <c r="G51" s="20" t="s">
        <v>311</v>
      </c>
      <c r="H51" s="23">
        <v>168612</v>
      </c>
      <c r="I51" s="23">
        <v>168612</v>
      </c>
      <c r="J51" s="23"/>
      <c r="K51" s="23"/>
      <c r="L51" s="23">
        <v>168612</v>
      </c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</row>
    <row r="52" ht="18.75" customHeight="1" spans="1:23">
      <c r="A52" s="25"/>
      <c r="B52" s="20" t="s">
        <v>308</v>
      </c>
      <c r="C52" s="20" t="s">
        <v>309</v>
      </c>
      <c r="D52" s="20" t="s">
        <v>245</v>
      </c>
      <c r="E52" s="20" t="s">
        <v>182</v>
      </c>
      <c r="F52" s="20" t="s">
        <v>310</v>
      </c>
      <c r="G52" s="20" t="s">
        <v>311</v>
      </c>
      <c r="H52" s="23">
        <v>443196</v>
      </c>
      <c r="I52" s="23">
        <v>443196</v>
      </c>
      <c r="J52" s="23"/>
      <c r="K52" s="23"/>
      <c r="L52" s="23">
        <v>443196</v>
      </c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</row>
    <row r="53" ht="18.75" customHeight="1" spans="1:23">
      <c r="A53" s="25"/>
      <c r="B53" s="20" t="s">
        <v>312</v>
      </c>
      <c r="C53" s="20" t="s">
        <v>313</v>
      </c>
      <c r="D53" s="20" t="s">
        <v>181</v>
      </c>
      <c r="E53" s="20" t="s">
        <v>182</v>
      </c>
      <c r="F53" s="20" t="s">
        <v>310</v>
      </c>
      <c r="G53" s="20" t="s">
        <v>311</v>
      </c>
      <c r="H53" s="23">
        <v>126000</v>
      </c>
      <c r="I53" s="23">
        <v>126000</v>
      </c>
      <c r="J53" s="23"/>
      <c r="K53" s="23"/>
      <c r="L53" s="23">
        <v>126000</v>
      </c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</row>
    <row r="54" ht="18.75" customHeight="1" spans="1:23">
      <c r="A54" s="25"/>
      <c r="B54" s="20" t="s">
        <v>312</v>
      </c>
      <c r="C54" s="20" t="s">
        <v>313</v>
      </c>
      <c r="D54" s="20" t="s">
        <v>238</v>
      </c>
      <c r="E54" s="20" t="s">
        <v>239</v>
      </c>
      <c r="F54" s="20" t="s">
        <v>310</v>
      </c>
      <c r="G54" s="20" t="s">
        <v>311</v>
      </c>
      <c r="H54" s="23">
        <v>108000</v>
      </c>
      <c r="I54" s="23">
        <v>108000</v>
      </c>
      <c r="J54" s="23"/>
      <c r="K54" s="23"/>
      <c r="L54" s="23">
        <v>108000</v>
      </c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</row>
    <row r="55" ht="18.75" customHeight="1" spans="1:23">
      <c r="A55" s="25"/>
      <c r="B55" s="20" t="s">
        <v>312</v>
      </c>
      <c r="C55" s="20" t="s">
        <v>313</v>
      </c>
      <c r="D55" s="20" t="s">
        <v>245</v>
      </c>
      <c r="E55" s="20" t="s">
        <v>182</v>
      </c>
      <c r="F55" s="20" t="s">
        <v>310</v>
      </c>
      <c r="G55" s="20" t="s">
        <v>311</v>
      </c>
      <c r="H55" s="23">
        <v>288000</v>
      </c>
      <c r="I55" s="23">
        <v>288000</v>
      </c>
      <c r="J55" s="23"/>
      <c r="K55" s="23"/>
      <c r="L55" s="23">
        <v>288000</v>
      </c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</row>
    <row r="56" ht="18.75" customHeight="1" spans="1:23">
      <c r="A56" s="25"/>
      <c r="B56" s="20" t="s">
        <v>314</v>
      </c>
      <c r="C56" s="20" t="s">
        <v>315</v>
      </c>
      <c r="D56" s="20" t="s">
        <v>181</v>
      </c>
      <c r="E56" s="20" t="s">
        <v>182</v>
      </c>
      <c r="F56" s="20" t="s">
        <v>310</v>
      </c>
      <c r="G56" s="20" t="s">
        <v>311</v>
      </c>
      <c r="H56" s="23">
        <v>89760</v>
      </c>
      <c r="I56" s="23">
        <v>89760</v>
      </c>
      <c r="J56" s="23"/>
      <c r="K56" s="23"/>
      <c r="L56" s="23">
        <v>89760</v>
      </c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</row>
    <row r="57" ht="18.75" customHeight="1" spans="1:23">
      <c r="A57" s="25"/>
      <c r="B57" s="20" t="s">
        <v>314</v>
      </c>
      <c r="C57" s="20" t="s">
        <v>315</v>
      </c>
      <c r="D57" s="20" t="s">
        <v>238</v>
      </c>
      <c r="E57" s="20" t="s">
        <v>239</v>
      </c>
      <c r="F57" s="20" t="s">
        <v>310</v>
      </c>
      <c r="G57" s="20" t="s">
        <v>311</v>
      </c>
      <c r="H57" s="23">
        <v>82140</v>
      </c>
      <c r="I57" s="23">
        <v>82140</v>
      </c>
      <c r="J57" s="23"/>
      <c r="K57" s="23"/>
      <c r="L57" s="23">
        <v>82140</v>
      </c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</row>
    <row r="58" ht="18.75" customHeight="1" spans="1:23">
      <c r="A58" s="25"/>
      <c r="B58" s="20" t="s">
        <v>314</v>
      </c>
      <c r="C58" s="20" t="s">
        <v>315</v>
      </c>
      <c r="D58" s="20" t="s">
        <v>245</v>
      </c>
      <c r="E58" s="20" t="s">
        <v>182</v>
      </c>
      <c r="F58" s="20" t="s">
        <v>310</v>
      </c>
      <c r="G58" s="20" t="s">
        <v>311</v>
      </c>
      <c r="H58" s="23">
        <v>208320</v>
      </c>
      <c r="I58" s="23">
        <v>208320</v>
      </c>
      <c r="J58" s="23"/>
      <c r="K58" s="23"/>
      <c r="L58" s="23">
        <v>208320</v>
      </c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</row>
    <row r="59" ht="18.75" customHeight="1" spans="1:23">
      <c r="A59" s="25"/>
      <c r="B59" s="20" t="s">
        <v>316</v>
      </c>
      <c r="C59" s="20" t="s">
        <v>317</v>
      </c>
      <c r="D59" s="20" t="s">
        <v>206</v>
      </c>
      <c r="E59" s="20" t="s">
        <v>207</v>
      </c>
      <c r="F59" s="20" t="s">
        <v>318</v>
      </c>
      <c r="G59" s="20" t="s">
        <v>319</v>
      </c>
      <c r="H59" s="23">
        <v>797533.44</v>
      </c>
      <c r="I59" s="23">
        <v>797533.44</v>
      </c>
      <c r="J59" s="23"/>
      <c r="K59" s="23"/>
      <c r="L59" s="23">
        <v>797533.44</v>
      </c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</row>
    <row r="60" ht="18.75" customHeight="1" spans="1:23">
      <c r="A60" s="25"/>
      <c r="B60" s="20" t="s">
        <v>316</v>
      </c>
      <c r="C60" s="20" t="s">
        <v>317</v>
      </c>
      <c r="D60" s="20" t="s">
        <v>320</v>
      </c>
      <c r="E60" s="20" t="s">
        <v>321</v>
      </c>
      <c r="F60" s="20" t="s">
        <v>322</v>
      </c>
      <c r="G60" s="20" t="s">
        <v>323</v>
      </c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</row>
    <row r="61" ht="18.75" customHeight="1" spans="1:23">
      <c r="A61" s="25"/>
      <c r="B61" s="20" t="s">
        <v>316</v>
      </c>
      <c r="C61" s="20" t="s">
        <v>317</v>
      </c>
      <c r="D61" s="20" t="s">
        <v>226</v>
      </c>
      <c r="E61" s="20" t="s">
        <v>227</v>
      </c>
      <c r="F61" s="20" t="s">
        <v>324</v>
      </c>
      <c r="G61" s="20" t="s">
        <v>325</v>
      </c>
      <c r="H61" s="23">
        <v>171795.58</v>
      </c>
      <c r="I61" s="23">
        <v>171795.58</v>
      </c>
      <c r="J61" s="23"/>
      <c r="K61" s="23"/>
      <c r="L61" s="23">
        <v>171795.58</v>
      </c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</row>
    <row r="62" ht="18.75" customHeight="1" spans="1:23">
      <c r="A62" s="25"/>
      <c r="B62" s="20" t="s">
        <v>316</v>
      </c>
      <c r="C62" s="20" t="s">
        <v>317</v>
      </c>
      <c r="D62" s="20" t="s">
        <v>228</v>
      </c>
      <c r="E62" s="20" t="s">
        <v>229</v>
      </c>
      <c r="F62" s="20" t="s">
        <v>324</v>
      </c>
      <c r="G62" s="20" t="s">
        <v>325</v>
      </c>
      <c r="H62" s="23">
        <v>182109.89</v>
      </c>
      <c r="I62" s="23">
        <v>182109.89</v>
      </c>
      <c r="J62" s="23"/>
      <c r="K62" s="23"/>
      <c r="L62" s="23">
        <v>182109.89</v>
      </c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</row>
    <row r="63" ht="18.75" customHeight="1" spans="1:23">
      <c r="A63" s="25"/>
      <c r="B63" s="20" t="s">
        <v>316</v>
      </c>
      <c r="C63" s="20" t="s">
        <v>317</v>
      </c>
      <c r="D63" s="20" t="s">
        <v>326</v>
      </c>
      <c r="E63" s="20" t="s">
        <v>327</v>
      </c>
      <c r="F63" s="20" t="s">
        <v>328</v>
      </c>
      <c r="G63" s="20" t="s">
        <v>329</v>
      </c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</row>
    <row r="64" ht="18.75" customHeight="1" spans="1:23">
      <c r="A64" s="25"/>
      <c r="B64" s="20" t="s">
        <v>316</v>
      </c>
      <c r="C64" s="20" t="s">
        <v>317</v>
      </c>
      <c r="D64" s="20" t="s">
        <v>158</v>
      </c>
      <c r="E64" s="20" t="s">
        <v>153</v>
      </c>
      <c r="F64" s="20" t="s">
        <v>330</v>
      </c>
      <c r="G64" s="20" t="s">
        <v>331</v>
      </c>
      <c r="H64" s="23">
        <v>589.68</v>
      </c>
      <c r="I64" s="23">
        <v>589.68</v>
      </c>
      <c r="J64" s="23"/>
      <c r="K64" s="23"/>
      <c r="L64" s="23">
        <v>589.68</v>
      </c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</row>
    <row r="65" ht="18.75" customHeight="1" spans="1:23">
      <c r="A65" s="25"/>
      <c r="B65" s="20" t="s">
        <v>316</v>
      </c>
      <c r="C65" s="20" t="s">
        <v>317</v>
      </c>
      <c r="D65" s="20" t="s">
        <v>181</v>
      </c>
      <c r="E65" s="20" t="s">
        <v>182</v>
      </c>
      <c r="F65" s="20" t="s">
        <v>330</v>
      </c>
      <c r="G65" s="20" t="s">
        <v>331</v>
      </c>
      <c r="H65" s="23">
        <v>4070.64</v>
      </c>
      <c r="I65" s="23">
        <v>4070.64</v>
      </c>
      <c r="J65" s="23"/>
      <c r="K65" s="23"/>
      <c r="L65" s="23">
        <v>4070.64</v>
      </c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</row>
    <row r="66" ht="18.75" customHeight="1" spans="1:23">
      <c r="A66" s="25"/>
      <c r="B66" s="20" t="s">
        <v>316</v>
      </c>
      <c r="C66" s="20" t="s">
        <v>317</v>
      </c>
      <c r="D66" s="20" t="s">
        <v>238</v>
      </c>
      <c r="E66" s="20" t="s">
        <v>239</v>
      </c>
      <c r="F66" s="20" t="s">
        <v>330</v>
      </c>
      <c r="G66" s="20" t="s">
        <v>331</v>
      </c>
      <c r="H66" s="23">
        <v>4110.88</v>
      </c>
      <c r="I66" s="23">
        <v>4110.88</v>
      </c>
      <c r="J66" s="23"/>
      <c r="K66" s="23"/>
      <c r="L66" s="23">
        <v>4110.88</v>
      </c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</row>
    <row r="67" ht="18.75" customHeight="1" spans="1:23">
      <c r="A67" s="25"/>
      <c r="B67" s="20" t="s">
        <v>316</v>
      </c>
      <c r="C67" s="20" t="s">
        <v>317</v>
      </c>
      <c r="D67" s="20" t="s">
        <v>245</v>
      </c>
      <c r="E67" s="20" t="s">
        <v>182</v>
      </c>
      <c r="F67" s="20" t="s">
        <v>330</v>
      </c>
      <c r="G67" s="20" t="s">
        <v>331</v>
      </c>
      <c r="H67" s="23">
        <v>9772.98</v>
      </c>
      <c r="I67" s="23">
        <v>9772.98</v>
      </c>
      <c r="J67" s="23"/>
      <c r="K67" s="23"/>
      <c r="L67" s="23">
        <v>9772.98</v>
      </c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</row>
    <row r="68" ht="18.75" customHeight="1" spans="1:23">
      <c r="A68" s="25"/>
      <c r="B68" s="20" t="s">
        <v>316</v>
      </c>
      <c r="C68" s="20" t="s">
        <v>317</v>
      </c>
      <c r="D68" s="20" t="s">
        <v>230</v>
      </c>
      <c r="E68" s="20" t="s">
        <v>231</v>
      </c>
      <c r="F68" s="20" t="s">
        <v>330</v>
      </c>
      <c r="G68" s="20" t="s">
        <v>331</v>
      </c>
      <c r="H68" s="23">
        <v>15504</v>
      </c>
      <c r="I68" s="23">
        <v>15504</v>
      </c>
      <c r="J68" s="23"/>
      <c r="K68" s="23"/>
      <c r="L68" s="23">
        <v>15504</v>
      </c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</row>
    <row r="69" ht="18.75" customHeight="1" spans="1:23">
      <c r="A69" s="25"/>
      <c r="B69" s="20" t="s">
        <v>316</v>
      </c>
      <c r="C69" s="20" t="s">
        <v>317</v>
      </c>
      <c r="D69" s="20" t="s">
        <v>230</v>
      </c>
      <c r="E69" s="20" t="s">
        <v>231</v>
      </c>
      <c r="F69" s="20" t="s">
        <v>330</v>
      </c>
      <c r="G69" s="20" t="s">
        <v>331</v>
      </c>
      <c r="H69" s="23">
        <v>9969.17</v>
      </c>
      <c r="I69" s="23">
        <v>9969.17</v>
      </c>
      <c r="J69" s="23"/>
      <c r="K69" s="23"/>
      <c r="L69" s="23">
        <v>9969.17</v>
      </c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</row>
    <row r="70" ht="18.75" customHeight="1" spans="1:23">
      <c r="A70" s="25"/>
      <c r="B70" s="20" t="s">
        <v>332</v>
      </c>
      <c r="C70" s="20" t="s">
        <v>257</v>
      </c>
      <c r="D70" s="20" t="s">
        <v>256</v>
      </c>
      <c r="E70" s="20" t="s">
        <v>257</v>
      </c>
      <c r="F70" s="20" t="s">
        <v>333</v>
      </c>
      <c r="G70" s="20" t="s">
        <v>257</v>
      </c>
      <c r="H70" s="23">
        <v>598150.08</v>
      </c>
      <c r="I70" s="23">
        <v>598150.08</v>
      </c>
      <c r="J70" s="23"/>
      <c r="K70" s="23"/>
      <c r="L70" s="23">
        <v>598150.08</v>
      </c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</row>
    <row r="71" ht="18.75" customHeight="1" spans="1:23">
      <c r="A71" s="25"/>
      <c r="B71" s="20" t="s">
        <v>334</v>
      </c>
      <c r="C71" s="20" t="s">
        <v>335</v>
      </c>
      <c r="D71" s="20" t="s">
        <v>158</v>
      </c>
      <c r="E71" s="20" t="s">
        <v>153</v>
      </c>
      <c r="F71" s="20" t="s">
        <v>336</v>
      </c>
      <c r="G71" s="20" t="s">
        <v>337</v>
      </c>
      <c r="H71" s="23">
        <v>70000</v>
      </c>
      <c r="I71" s="23">
        <v>70000</v>
      </c>
      <c r="J71" s="23"/>
      <c r="K71" s="23"/>
      <c r="L71" s="23">
        <v>70000</v>
      </c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</row>
    <row r="72" ht="18.75" customHeight="1" spans="1:23">
      <c r="A72" s="25"/>
      <c r="B72" s="20" t="s">
        <v>338</v>
      </c>
      <c r="C72" s="20" t="s">
        <v>339</v>
      </c>
      <c r="D72" s="20" t="s">
        <v>152</v>
      </c>
      <c r="E72" s="20" t="s">
        <v>153</v>
      </c>
      <c r="F72" s="20" t="s">
        <v>336</v>
      </c>
      <c r="G72" s="20" t="s">
        <v>337</v>
      </c>
      <c r="H72" s="23">
        <v>1000</v>
      </c>
      <c r="I72" s="23">
        <v>1000</v>
      </c>
      <c r="J72" s="23"/>
      <c r="K72" s="23"/>
      <c r="L72" s="23">
        <v>1000</v>
      </c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</row>
    <row r="73" ht="18.75" customHeight="1" spans="1:23">
      <c r="A73" s="25"/>
      <c r="B73" s="20" t="s">
        <v>338</v>
      </c>
      <c r="C73" s="20" t="s">
        <v>339</v>
      </c>
      <c r="D73" s="20" t="s">
        <v>152</v>
      </c>
      <c r="E73" s="20" t="s">
        <v>153</v>
      </c>
      <c r="F73" s="20" t="s">
        <v>340</v>
      </c>
      <c r="G73" s="20" t="s">
        <v>341</v>
      </c>
      <c r="H73" s="23">
        <v>1000</v>
      </c>
      <c r="I73" s="23">
        <v>1000</v>
      </c>
      <c r="J73" s="23"/>
      <c r="K73" s="23"/>
      <c r="L73" s="23">
        <v>1000</v>
      </c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</row>
    <row r="74" ht="18.75" customHeight="1" spans="1:23">
      <c r="A74" s="25"/>
      <c r="B74" s="20" t="s">
        <v>342</v>
      </c>
      <c r="C74" s="20" t="s">
        <v>343</v>
      </c>
      <c r="D74" s="20" t="s">
        <v>152</v>
      </c>
      <c r="E74" s="20" t="s">
        <v>153</v>
      </c>
      <c r="F74" s="20" t="s">
        <v>344</v>
      </c>
      <c r="G74" s="20" t="s">
        <v>268</v>
      </c>
      <c r="H74" s="23">
        <v>1000</v>
      </c>
      <c r="I74" s="23">
        <v>1000</v>
      </c>
      <c r="J74" s="23"/>
      <c r="K74" s="23"/>
      <c r="L74" s="23">
        <v>1000</v>
      </c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</row>
    <row r="75" ht="18.75" customHeight="1" spans="1:23">
      <c r="A75" s="25"/>
      <c r="B75" s="20" t="s">
        <v>338</v>
      </c>
      <c r="C75" s="20" t="s">
        <v>339</v>
      </c>
      <c r="D75" s="20" t="s">
        <v>152</v>
      </c>
      <c r="E75" s="20" t="s">
        <v>153</v>
      </c>
      <c r="F75" s="20" t="s">
        <v>345</v>
      </c>
      <c r="G75" s="20" t="s">
        <v>346</v>
      </c>
      <c r="H75" s="23">
        <v>1000</v>
      </c>
      <c r="I75" s="23">
        <v>1000</v>
      </c>
      <c r="J75" s="23"/>
      <c r="K75" s="23"/>
      <c r="L75" s="23">
        <v>1000</v>
      </c>
      <c r="M75" s="23"/>
      <c r="N75" s="23"/>
      <c r="O75" s="23"/>
      <c r="P75" s="23"/>
      <c r="Q75" s="23"/>
      <c r="R75" s="23"/>
      <c r="S75" s="23"/>
      <c r="T75" s="23"/>
      <c r="U75" s="23"/>
      <c r="V75" s="23"/>
      <c r="W75" s="23"/>
    </row>
    <row r="76" ht="18.75" customHeight="1" spans="1:23">
      <c r="A76" s="25"/>
      <c r="B76" s="20" t="s">
        <v>342</v>
      </c>
      <c r="C76" s="20" t="s">
        <v>343</v>
      </c>
      <c r="D76" s="20" t="s">
        <v>158</v>
      </c>
      <c r="E76" s="20" t="s">
        <v>153</v>
      </c>
      <c r="F76" s="20" t="s">
        <v>344</v>
      </c>
      <c r="G76" s="20" t="s">
        <v>268</v>
      </c>
      <c r="H76" s="23">
        <v>1000</v>
      </c>
      <c r="I76" s="23">
        <v>1000</v>
      </c>
      <c r="J76" s="23"/>
      <c r="K76" s="23"/>
      <c r="L76" s="23">
        <v>1000</v>
      </c>
      <c r="M76" s="23"/>
      <c r="N76" s="23"/>
      <c r="O76" s="23"/>
      <c r="P76" s="23"/>
      <c r="Q76" s="23"/>
      <c r="R76" s="23"/>
      <c r="S76" s="23"/>
      <c r="T76" s="23"/>
      <c r="U76" s="23"/>
      <c r="V76" s="23"/>
      <c r="W76" s="23"/>
    </row>
    <row r="77" ht="18.75" customHeight="1" spans="1:23">
      <c r="A77" s="25"/>
      <c r="B77" s="20" t="s">
        <v>338</v>
      </c>
      <c r="C77" s="20" t="s">
        <v>339</v>
      </c>
      <c r="D77" s="20" t="s">
        <v>158</v>
      </c>
      <c r="E77" s="20" t="s">
        <v>153</v>
      </c>
      <c r="F77" s="20" t="s">
        <v>340</v>
      </c>
      <c r="G77" s="20" t="s">
        <v>341</v>
      </c>
      <c r="H77" s="23">
        <v>10000</v>
      </c>
      <c r="I77" s="23">
        <v>10000</v>
      </c>
      <c r="J77" s="23"/>
      <c r="K77" s="23"/>
      <c r="L77" s="23">
        <v>10000</v>
      </c>
      <c r="M77" s="23"/>
      <c r="N77" s="23"/>
      <c r="O77" s="23"/>
      <c r="P77" s="23"/>
      <c r="Q77" s="23"/>
      <c r="R77" s="23"/>
      <c r="S77" s="23"/>
      <c r="T77" s="23"/>
      <c r="U77" s="23"/>
      <c r="V77" s="23"/>
      <c r="W77" s="23"/>
    </row>
    <row r="78" ht="18.75" customHeight="1" spans="1:23">
      <c r="A78" s="25"/>
      <c r="B78" s="20" t="s">
        <v>338</v>
      </c>
      <c r="C78" s="20" t="s">
        <v>339</v>
      </c>
      <c r="D78" s="20" t="s">
        <v>158</v>
      </c>
      <c r="E78" s="20" t="s">
        <v>153</v>
      </c>
      <c r="F78" s="20" t="s">
        <v>336</v>
      </c>
      <c r="G78" s="20" t="s">
        <v>337</v>
      </c>
      <c r="H78" s="23">
        <v>31000</v>
      </c>
      <c r="I78" s="23">
        <v>31000</v>
      </c>
      <c r="J78" s="23"/>
      <c r="K78" s="23"/>
      <c r="L78" s="23">
        <v>31000</v>
      </c>
      <c r="M78" s="23"/>
      <c r="N78" s="23"/>
      <c r="O78" s="23"/>
      <c r="P78" s="23"/>
      <c r="Q78" s="23"/>
      <c r="R78" s="23"/>
      <c r="S78" s="23"/>
      <c r="T78" s="23"/>
      <c r="U78" s="23"/>
      <c r="V78" s="23"/>
      <c r="W78" s="23"/>
    </row>
    <row r="79" ht="18.75" customHeight="1" spans="1:23">
      <c r="A79" s="25"/>
      <c r="B79" s="20" t="s">
        <v>338</v>
      </c>
      <c r="C79" s="20" t="s">
        <v>339</v>
      </c>
      <c r="D79" s="20" t="s">
        <v>158</v>
      </c>
      <c r="E79" s="20" t="s">
        <v>153</v>
      </c>
      <c r="F79" s="20" t="s">
        <v>345</v>
      </c>
      <c r="G79" s="20" t="s">
        <v>346</v>
      </c>
      <c r="H79" s="23">
        <v>10000</v>
      </c>
      <c r="I79" s="23">
        <v>10000</v>
      </c>
      <c r="J79" s="23"/>
      <c r="K79" s="23"/>
      <c r="L79" s="23">
        <v>10000</v>
      </c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</row>
    <row r="80" ht="18.75" customHeight="1" spans="1:23">
      <c r="A80" s="25"/>
      <c r="B80" s="20" t="s">
        <v>338</v>
      </c>
      <c r="C80" s="20" t="s">
        <v>339</v>
      </c>
      <c r="D80" s="20" t="s">
        <v>158</v>
      </c>
      <c r="E80" s="20" t="s">
        <v>153</v>
      </c>
      <c r="F80" s="20" t="s">
        <v>347</v>
      </c>
      <c r="G80" s="20" t="s">
        <v>348</v>
      </c>
      <c r="H80" s="23">
        <v>4000</v>
      </c>
      <c r="I80" s="23">
        <v>4000</v>
      </c>
      <c r="J80" s="23"/>
      <c r="K80" s="23"/>
      <c r="L80" s="23">
        <v>4000</v>
      </c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</row>
    <row r="81" ht="18.75" customHeight="1" spans="1:23">
      <c r="A81" s="25"/>
      <c r="B81" s="20" t="s">
        <v>338</v>
      </c>
      <c r="C81" s="20" t="s">
        <v>339</v>
      </c>
      <c r="D81" s="20" t="s">
        <v>172</v>
      </c>
      <c r="E81" s="20" t="s">
        <v>153</v>
      </c>
      <c r="F81" s="20" t="s">
        <v>336</v>
      </c>
      <c r="G81" s="20" t="s">
        <v>337</v>
      </c>
      <c r="H81" s="23">
        <v>9100</v>
      </c>
      <c r="I81" s="23">
        <v>9100</v>
      </c>
      <c r="J81" s="23"/>
      <c r="K81" s="23"/>
      <c r="L81" s="23">
        <v>9100</v>
      </c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</row>
    <row r="82" ht="18.75" customHeight="1" spans="1:23">
      <c r="A82" s="25"/>
      <c r="B82" s="20" t="s">
        <v>338</v>
      </c>
      <c r="C82" s="20" t="s">
        <v>339</v>
      </c>
      <c r="D82" s="20" t="s">
        <v>172</v>
      </c>
      <c r="E82" s="20" t="s">
        <v>153</v>
      </c>
      <c r="F82" s="20" t="s">
        <v>340</v>
      </c>
      <c r="G82" s="20" t="s">
        <v>341</v>
      </c>
      <c r="H82" s="23">
        <v>1000</v>
      </c>
      <c r="I82" s="23">
        <v>1000</v>
      </c>
      <c r="J82" s="23"/>
      <c r="K82" s="23"/>
      <c r="L82" s="23">
        <v>1000</v>
      </c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</row>
    <row r="83" ht="18.75" customHeight="1" spans="1:23">
      <c r="A83" s="25"/>
      <c r="B83" s="20" t="s">
        <v>338</v>
      </c>
      <c r="C83" s="20" t="s">
        <v>339</v>
      </c>
      <c r="D83" s="20" t="s">
        <v>172</v>
      </c>
      <c r="E83" s="20" t="s">
        <v>153</v>
      </c>
      <c r="F83" s="20" t="s">
        <v>345</v>
      </c>
      <c r="G83" s="20" t="s">
        <v>346</v>
      </c>
      <c r="H83" s="23">
        <v>1000</v>
      </c>
      <c r="I83" s="23">
        <v>1000</v>
      </c>
      <c r="J83" s="23"/>
      <c r="K83" s="23"/>
      <c r="L83" s="23">
        <v>1000</v>
      </c>
      <c r="M83" s="23"/>
      <c r="N83" s="23"/>
      <c r="O83" s="23"/>
      <c r="P83" s="23"/>
      <c r="Q83" s="23"/>
      <c r="R83" s="23"/>
      <c r="S83" s="23"/>
      <c r="T83" s="23"/>
      <c r="U83" s="23"/>
      <c r="V83" s="23"/>
      <c r="W83" s="23"/>
    </row>
    <row r="84" ht="18.75" customHeight="1" spans="1:23">
      <c r="A84" s="25"/>
      <c r="B84" s="20" t="s">
        <v>338</v>
      </c>
      <c r="C84" s="20" t="s">
        <v>339</v>
      </c>
      <c r="D84" s="20" t="s">
        <v>178</v>
      </c>
      <c r="E84" s="20" t="s">
        <v>153</v>
      </c>
      <c r="F84" s="20" t="s">
        <v>340</v>
      </c>
      <c r="G84" s="20" t="s">
        <v>341</v>
      </c>
      <c r="H84" s="23">
        <v>1000</v>
      </c>
      <c r="I84" s="23">
        <v>1000</v>
      </c>
      <c r="J84" s="23"/>
      <c r="K84" s="23"/>
      <c r="L84" s="23">
        <v>1000</v>
      </c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23"/>
    </row>
    <row r="85" ht="18.75" customHeight="1" spans="1:23">
      <c r="A85" s="25"/>
      <c r="B85" s="20" t="s">
        <v>338</v>
      </c>
      <c r="C85" s="20" t="s">
        <v>339</v>
      </c>
      <c r="D85" s="20" t="s">
        <v>178</v>
      </c>
      <c r="E85" s="20" t="s">
        <v>153</v>
      </c>
      <c r="F85" s="20" t="s">
        <v>345</v>
      </c>
      <c r="G85" s="20" t="s">
        <v>346</v>
      </c>
      <c r="H85" s="23">
        <v>1000</v>
      </c>
      <c r="I85" s="23">
        <v>1000</v>
      </c>
      <c r="J85" s="23"/>
      <c r="K85" s="23"/>
      <c r="L85" s="23">
        <v>1000</v>
      </c>
      <c r="M85" s="23"/>
      <c r="N85" s="23"/>
      <c r="O85" s="23"/>
      <c r="P85" s="23"/>
      <c r="Q85" s="23"/>
      <c r="R85" s="23"/>
      <c r="S85" s="23"/>
      <c r="T85" s="23"/>
      <c r="U85" s="23"/>
      <c r="V85" s="23"/>
      <c r="W85" s="23"/>
    </row>
    <row r="86" ht="18.75" customHeight="1" spans="1:23">
      <c r="A86" s="25"/>
      <c r="B86" s="20" t="s">
        <v>338</v>
      </c>
      <c r="C86" s="20" t="s">
        <v>339</v>
      </c>
      <c r="D86" s="20" t="s">
        <v>178</v>
      </c>
      <c r="E86" s="20" t="s">
        <v>153</v>
      </c>
      <c r="F86" s="20" t="s">
        <v>336</v>
      </c>
      <c r="G86" s="20" t="s">
        <v>337</v>
      </c>
      <c r="H86" s="23">
        <v>22000</v>
      </c>
      <c r="I86" s="23">
        <v>22000</v>
      </c>
      <c r="J86" s="23"/>
      <c r="K86" s="23"/>
      <c r="L86" s="23">
        <v>22000</v>
      </c>
      <c r="M86" s="23"/>
      <c r="N86" s="23"/>
      <c r="O86" s="23"/>
      <c r="P86" s="23"/>
      <c r="Q86" s="23"/>
      <c r="R86" s="23"/>
      <c r="S86" s="23"/>
      <c r="T86" s="23"/>
      <c r="U86" s="23"/>
      <c r="V86" s="23"/>
      <c r="W86" s="23"/>
    </row>
    <row r="87" ht="18.75" customHeight="1" spans="1:23">
      <c r="A87" s="25"/>
      <c r="B87" s="20" t="s">
        <v>338</v>
      </c>
      <c r="C87" s="20" t="s">
        <v>339</v>
      </c>
      <c r="D87" s="20" t="s">
        <v>181</v>
      </c>
      <c r="E87" s="20" t="s">
        <v>182</v>
      </c>
      <c r="F87" s="20" t="s">
        <v>340</v>
      </c>
      <c r="G87" s="20" t="s">
        <v>341</v>
      </c>
      <c r="H87" s="23">
        <v>3000</v>
      </c>
      <c r="I87" s="23">
        <v>3000</v>
      </c>
      <c r="J87" s="23"/>
      <c r="K87" s="23"/>
      <c r="L87" s="23">
        <v>3000</v>
      </c>
      <c r="M87" s="23"/>
      <c r="N87" s="23"/>
      <c r="O87" s="23"/>
      <c r="P87" s="23"/>
      <c r="Q87" s="23"/>
      <c r="R87" s="23"/>
      <c r="S87" s="23"/>
      <c r="T87" s="23"/>
      <c r="U87" s="23"/>
      <c r="V87" s="23"/>
      <c r="W87" s="23"/>
    </row>
    <row r="88" ht="18.75" customHeight="1" spans="1:23">
      <c r="A88" s="25"/>
      <c r="B88" s="20" t="s">
        <v>338</v>
      </c>
      <c r="C88" s="20" t="s">
        <v>339</v>
      </c>
      <c r="D88" s="20" t="s">
        <v>181</v>
      </c>
      <c r="E88" s="20" t="s">
        <v>182</v>
      </c>
      <c r="F88" s="20" t="s">
        <v>336</v>
      </c>
      <c r="G88" s="20" t="s">
        <v>337</v>
      </c>
      <c r="H88" s="23">
        <v>22000</v>
      </c>
      <c r="I88" s="23">
        <v>22000</v>
      </c>
      <c r="J88" s="23"/>
      <c r="K88" s="23"/>
      <c r="L88" s="23">
        <v>22000</v>
      </c>
      <c r="M88" s="23"/>
      <c r="N88" s="23"/>
      <c r="O88" s="23"/>
      <c r="P88" s="23"/>
      <c r="Q88" s="23"/>
      <c r="R88" s="23"/>
      <c r="S88" s="23"/>
      <c r="T88" s="23"/>
      <c r="U88" s="23"/>
      <c r="V88" s="23"/>
      <c r="W88" s="23"/>
    </row>
    <row r="89" ht="18.75" customHeight="1" spans="1:23">
      <c r="A89" s="25"/>
      <c r="B89" s="20" t="s">
        <v>338</v>
      </c>
      <c r="C89" s="20" t="s">
        <v>339</v>
      </c>
      <c r="D89" s="20" t="s">
        <v>181</v>
      </c>
      <c r="E89" s="20" t="s">
        <v>182</v>
      </c>
      <c r="F89" s="20" t="s">
        <v>345</v>
      </c>
      <c r="G89" s="20" t="s">
        <v>346</v>
      </c>
      <c r="H89" s="23">
        <v>3000</v>
      </c>
      <c r="I89" s="23">
        <v>3000</v>
      </c>
      <c r="J89" s="23"/>
      <c r="K89" s="23"/>
      <c r="L89" s="23">
        <v>3000</v>
      </c>
      <c r="M89" s="23"/>
      <c r="N89" s="23"/>
      <c r="O89" s="23"/>
      <c r="P89" s="23"/>
      <c r="Q89" s="23"/>
      <c r="R89" s="23"/>
      <c r="S89" s="23"/>
      <c r="T89" s="23"/>
      <c r="U89" s="23"/>
      <c r="V89" s="23"/>
      <c r="W89" s="23"/>
    </row>
    <row r="90" ht="18.75" customHeight="1" spans="1:23">
      <c r="A90" s="25"/>
      <c r="B90" s="20" t="s">
        <v>338</v>
      </c>
      <c r="C90" s="20" t="s">
        <v>339</v>
      </c>
      <c r="D90" s="20" t="s">
        <v>189</v>
      </c>
      <c r="E90" s="20" t="s">
        <v>153</v>
      </c>
      <c r="F90" s="20" t="s">
        <v>340</v>
      </c>
      <c r="G90" s="20" t="s">
        <v>341</v>
      </c>
      <c r="H90" s="23">
        <v>1000</v>
      </c>
      <c r="I90" s="23">
        <v>1000</v>
      </c>
      <c r="J90" s="23"/>
      <c r="K90" s="23"/>
      <c r="L90" s="23">
        <v>1000</v>
      </c>
      <c r="M90" s="23"/>
      <c r="N90" s="23"/>
      <c r="O90" s="23"/>
      <c r="P90" s="23"/>
      <c r="Q90" s="23"/>
      <c r="R90" s="23"/>
      <c r="S90" s="23"/>
      <c r="T90" s="23"/>
      <c r="U90" s="23"/>
      <c r="V90" s="23"/>
      <c r="W90" s="23"/>
    </row>
    <row r="91" ht="18.75" customHeight="1" spans="1:23">
      <c r="A91" s="25"/>
      <c r="B91" s="20" t="s">
        <v>338</v>
      </c>
      <c r="C91" s="20" t="s">
        <v>339</v>
      </c>
      <c r="D91" s="20" t="s">
        <v>189</v>
      </c>
      <c r="E91" s="20" t="s">
        <v>153</v>
      </c>
      <c r="F91" s="20" t="s">
        <v>336</v>
      </c>
      <c r="G91" s="20" t="s">
        <v>337</v>
      </c>
      <c r="H91" s="23">
        <v>6000</v>
      </c>
      <c r="I91" s="23">
        <v>6000</v>
      </c>
      <c r="J91" s="23"/>
      <c r="K91" s="23"/>
      <c r="L91" s="23">
        <v>6000</v>
      </c>
      <c r="M91" s="23"/>
      <c r="N91" s="23"/>
      <c r="O91" s="23"/>
      <c r="P91" s="23"/>
      <c r="Q91" s="23"/>
      <c r="R91" s="23"/>
      <c r="S91" s="23"/>
      <c r="T91" s="23"/>
      <c r="U91" s="23"/>
      <c r="V91" s="23"/>
      <c r="W91" s="23"/>
    </row>
    <row r="92" ht="18.75" customHeight="1" spans="1:23">
      <c r="A92" s="25"/>
      <c r="B92" s="20" t="s">
        <v>338</v>
      </c>
      <c r="C92" s="20" t="s">
        <v>339</v>
      </c>
      <c r="D92" s="20" t="s">
        <v>189</v>
      </c>
      <c r="E92" s="20" t="s">
        <v>153</v>
      </c>
      <c r="F92" s="20" t="s">
        <v>345</v>
      </c>
      <c r="G92" s="20" t="s">
        <v>346</v>
      </c>
      <c r="H92" s="23">
        <v>1000</v>
      </c>
      <c r="I92" s="23">
        <v>1000</v>
      </c>
      <c r="J92" s="23"/>
      <c r="K92" s="23"/>
      <c r="L92" s="23">
        <v>1000</v>
      </c>
      <c r="M92" s="23"/>
      <c r="N92" s="23"/>
      <c r="O92" s="23"/>
      <c r="P92" s="23"/>
      <c r="Q92" s="23"/>
      <c r="R92" s="23"/>
      <c r="S92" s="23"/>
      <c r="T92" s="23"/>
      <c r="U92" s="23"/>
      <c r="V92" s="23"/>
      <c r="W92" s="23"/>
    </row>
    <row r="93" ht="18.75" customHeight="1" spans="1:23">
      <c r="A93" s="25"/>
      <c r="B93" s="20" t="s">
        <v>338</v>
      </c>
      <c r="C93" s="20" t="s">
        <v>339</v>
      </c>
      <c r="D93" s="20" t="s">
        <v>238</v>
      </c>
      <c r="E93" s="20" t="s">
        <v>239</v>
      </c>
      <c r="F93" s="20" t="s">
        <v>336</v>
      </c>
      <c r="G93" s="20" t="s">
        <v>337</v>
      </c>
      <c r="H93" s="23">
        <v>20000</v>
      </c>
      <c r="I93" s="23">
        <v>20000</v>
      </c>
      <c r="J93" s="23"/>
      <c r="K93" s="23"/>
      <c r="L93" s="23">
        <v>20000</v>
      </c>
      <c r="M93" s="23"/>
      <c r="N93" s="23"/>
      <c r="O93" s="23"/>
      <c r="P93" s="23"/>
      <c r="Q93" s="23"/>
      <c r="R93" s="23"/>
      <c r="S93" s="23"/>
      <c r="T93" s="23"/>
      <c r="U93" s="23"/>
      <c r="V93" s="23"/>
      <c r="W93" s="23"/>
    </row>
    <row r="94" ht="18.75" customHeight="1" spans="1:23">
      <c r="A94" s="25"/>
      <c r="B94" s="20" t="s">
        <v>338</v>
      </c>
      <c r="C94" s="20" t="s">
        <v>339</v>
      </c>
      <c r="D94" s="20" t="s">
        <v>238</v>
      </c>
      <c r="E94" s="20" t="s">
        <v>239</v>
      </c>
      <c r="F94" s="20" t="s">
        <v>340</v>
      </c>
      <c r="G94" s="20" t="s">
        <v>341</v>
      </c>
      <c r="H94" s="23">
        <v>3000</v>
      </c>
      <c r="I94" s="23">
        <v>3000</v>
      </c>
      <c r="J94" s="23"/>
      <c r="K94" s="23"/>
      <c r="L94" s="23">
        <v>3000</v>
      </c>
      <c r="M94" s="23"/>
      <c r="N94" s="23"/>
      <c r="O94" s="23"/>
      <c r="P94" s="23"/>
      <c r="Q94" s="23"/>
      <c r="R94" s="23"/>
      <c r="S94" s="23"/>
      <c r="T94" s="23"/>
      <c r="U94" s="23"/>
      <c r="V94" s="23"/>
      <c r="W94" s="23"/>
    </row>
    <row r="95" ht="18.75" customHeight="1" spans="1:23">
      <c r="A95" s="25"/>
      <c r="B95" s="20" t="s">
        <v>338</v>
      </c>
      <c r="C95" s="20" t="s">
        <v>339</v>
      </c>
      <c r="D95" s="20" t="s">
        <v>238</v>
      </c>
      <c r="E95" s="20" t="s">
        <v>239</v>
      </c>
      <c r="F95" s="20" t="s">
        <v>345</v>
      </c>
      <c r="G95" s="20" t="s">
        <v>346</v>
      </c>
      <c r="H95" s="23">
        <v>1000</v>
      </c>
      <c r="I95" s="23">
        <v>1000</v>
      </c>
      <c r="J95" s="23"/>
      <c r="K95" s="23"/>
      <c r="L95" s="23">
        <v>1000</v>
      </c>
      <c r="M95" s="23"/>
      <c r="N95" s="23"/>
      <c r="O95" s="23"/>
      <c r="P95" s="23"/>
      <c r="Q95" s="23"/>
      <c r="R95" s="23"/>
      <c r="S95" s="23"/>
      <c r="T95" s="23"/>
      <c r="U95" s="23"/>
      <c r="V95" s="23"/>
      <c r="W95" s="23"/>
    </row>
    <row r="96" ht="18.75" customHeight="1" spans="1:23">
      <c r="A96" s="25"/>
      <c r="B96" s="20" t="s">
        <v>338</v>
      </c>
      <c r="C96" s="20" t="s">
        <v>339</v>
      </c>
      <c r="D96" s="20" t="s">
        <v>245</v>
      </c>
      <c r="E96" s="20" t="s">
        <v>182</v>
      </c>
      <c r="F96" s="20" t="s">
        <v>336</v>
      </c>
      <c r="G96" s="20" t="s">
        <v>337</v>
      </c>
      <c r="H96" s="23">
        <v>57000</v>
      </c>
      <c r="I96" s="23">
        <v>57000</v>
      </c>
      <c r="J96" s="23"/>
      <c r="K96" s="23"/>
      <c r="L96" s="23">
        <v>57000</v>
      </c>
      <c r="M96" s="23"/>
      <c r="N96" s="23"/>
      <c r="O96" s="23"/>
      <c r="P96" s="23"/>
      <c r="Q96" s="23"/>
      <c r="R96" s="23"/>
      <c r="S96" s="23"/>
      <c r="T96" s="23"/>
      <c r="U96" s="23"/>
      <c r="V96" s="23"/>
      <c r="W96" s="23"/>
    </row>
    <row r="97" ht="18.75" customHeight="1" spans="1:23">
      <c r="A97" s="25"/>
      <c r="B97" s="20" t="s">
        <v>338</v>
      </c>
      <c r="C97" s="20" t="s">
        <v>339</v>
      </c>
      <c r="D97" s="20" t="s">
        <v>245</v>
      </c>
      <c r="E97" s="20" t="s">
        <v>182</v>
      </c>
      <c r="F97" s="20" t="s">
        <v>340</v>
      </c>
      <c r="G97" s="20" t="s">
        <v>341</v>
      </c>
      <c r="H97" s="23">
        <v>4000</v>
      </c>
      <c r="I97" s="23">
        <v>4000</v>
      </c>
      <c r="J97" s="23"/>
      <c r="K97" s="23"/>
      <c r="L97" s="23">
        <v>4000</v>
      </c>
      <c r="M97" s="23"/>
      <c r="N97" s="23"/>
      <c r="O97" s="23"/>
      <c r="P97" s="23"/>
      <c r="Q97" s="23"/>
      <c r="R97" s="23"/>
      <c r="S97" s="23"/>
      <c r="T97" s="23"/>
      <c r="U97" s="23"/>
      <c r="V97" s="23"/>
      <c r="W97" s="23"/>
    </row>
    <row r="98" ht="18.75" customHeight="1" spans="1:23">
      <c r="A98" s="25"/>
      <c r="B98" s="20" t="s">
        <v>338</v>
      </c>
      <c r="C98" s="20" t="s">
        <v>339</v>
      </c>
      <c r="D98" s="20" t="s">
        <v>245</v>
      </c>
      <c r="E98" s="20" t="s">
        <v>182</v>
      </c>
      <c r="F98" s="20" t="s">
        <v>345</v>
      </c>
      <c r="G98" s="20" t="s">
        <v>346</v>
      </c>
      <c r="H98" s="23">
        <v>3000</v>
      </c>
      <c r="I98" s="23">
        <v>3000</v>
      </c>
      <c r="J98" s="23"/>
      <c r="K98" s="23"/>
      <c r="L98" s="23">
        <v>3000</v>
      </c>
      <c r="M98" s="23"/>
      <c r="N98" s="23"/>
      <c r="O98" s="23"/>
      <c r="P98" s="23"/>
      <c r="Q98" s="23"/>
      <c r="R98" s="23"/>
      <c r="S98" s="23"/>
      <c r="T98" s="23"/>
      <c r="U98" s="23"/>
      <c r="V98" s="23"/>
      <c r="W98" s="23"/>
    </row>
    <row r="99" ht="18.75" customHeight="1" spans="1:23">
      <c r="A99" s="25"/>
      <c r="B99" s="20" t="s">
        <v>349</v>
      </c>
      <c r="C99" s="20" t="s">
        <v>350</v>
      </c>
      <c r="D99" s="20" t="s">
        <v>158</v>
      </c>
      <c r="E99" s="20" t="s">
        <v>153</v>
      </c>
      <c r="F99" s="20" t="s">
        <v>336</v>
      </c>
      <c r="G99" s="20" t="s">
        <v>337</v>
      </c>
      <c r="H99" s="23">
        <v>240000</v>
      </c>
      <c r="I99" s="23">
        <v>240000</v>
      </c>
      <c r="J99" s="23"/>
      <c r="K99" s="23"/>
      <c r="L99" s="23">
        <v>240000</v>
      </c>
      <c r="M99" s="23"/>
      <c r="N99" s="23"/>
      <c r="O99" s="23"/>
      <c r="P99" s="23"/>
      <c r="Q99" s="23"/>
      <c r="R99" s="23"/>
      <c r="S99" s="23"/>
      <c r="T99" s="23"/>
      <c r="U99" s="23"/>
      <c r="V99" s="23"/>
      <c r="W99" s="23"/>
    </row>
    <row r="100" ht="18.75" customHeight="1" spans="1:23">
      <c r="A100" s="25"/>
      <c r="B100" s="20" t="s">
        <v>351</v>
      </c>
      <c r="C100" s="20" t="s">
        <v>352</v>
      </c>
      <c r="D100" s="20" t="s">
        <v>152</v>
      </c>
      <c r="E100" s="20" t="s">
        <v>153</v>
      </c>
      <c r="F100" s="20" t="s">
        <v>353</v>
      </c>
      <c r="G100" s="20" t="s">
        <v>352</v>
      </c>
      <c r="H100" s="23">
        <v>1971.36</v>
      </c>
      <c r="I100" s="23">
        <v>1971.36</v>
      </c>
      <c r="J100" s="23"/>
      <c r="K100" s="23"/>
      <c r="L100" s="23">
        <v>1971.36</v>
      </c>
      <c r="M100" s="23"/>
      <c r="N100" s="23"/>
      <c r="O100" s="23"/>
      <c r="P100" s="23"/>
      <c r="Q100" s="23"/>
      <c r="R100" s="23"/>
      <c r="S100" s="23"/>
      <c r="T100" s="23"/>
      <c r="U100" s="23"/>
      <c r="V100" s="23"/>
      <c r="W100" s="23"/>
    </row>
    <row r="101" ht="18.75" customHeight="1" spans="1:23">
      <c r="A101" s="25"/>
      <c r="B101" s="20" t="s">
        <v>351</v>
      </c>
      <c r="C101" s="20" t="s">
        <v>352</v>
      </c>
      <c r="D101" s="20" t="s">
        <v>158</v>
      </c>
      <c r="E101" s="20" t="s">
        <v>153</v>
      </c>
      <c r="F101" s="20" t="s">
        <v>353</v>
      </c>
      <c r="G101" s="20" t="s">
        <v>352</v>
      </c>
      <c r="H101" s="23">
        <v>23126.64</v>
      </c>
      <c r="I101" s="23">
        <v>23126.64</v>
      </c>
      <c r="J101" s="23"/>
      <c r="K101" s="23"/>
      <c r="L101" s="23">
        <v>23126.64</v>
      </c>
      <c r="M101" s="23"/>
      <c r="N101" s="23"/>
      <c r="O101" s="23"/>
      <c r="P101" s="23"/>
      <c r="Q101" s="23"/>
      <c r="R101" s="23"/>
      <c r="S101" s="23"/>
      <c r="T101" s="23"/>
      <c r="U101" s="23"/>
      <c r="V101" s="23"/>
      <c r="W101" s="23"/>
    </row>
    <row r="102" ht="18.75" customHeight="1" spans="1:23">
      <c r="A102" s="25"/>
      <c r="B102" s="20" t="s">
        <v>351</v>
      </c>
      <c r="C102" s="20" t="s">
        <v>352</v>
      </c>
      <c r="D102" s="20" t="s">
        <v>172</v>
      </c>
      <c r="E102" s="20" t="s">
        <v>153</v>
      </c>
      <c r="F102" s="20" t="s">
        <v>353</v>
      </c>
      <c r="G102" s="20" t="s">
        <v>352</v>
      </c>
      <c r="H102" s="23">
        <v>1656.48</v>
      </c>
      <c r="I102" s="23">
        <v>1656.48</v>
      </c>
      <c r="J102" s="23"/>
      <c r="K102" s="23"/>
      <c r="L102" s="23">
        <v>1656.48</v>
      </c>
      <c r="M102" s="23"/>
      <c r="N102" s="23"/>
      <c r="O102" s="23"/>
      <c r="P102" s="23"/>
      <c r="Q102" s="23"/>
      <c r="R102" s="23"/>
      <c r="S102" s="23"/>
      <c r="T102" s="23"/>
      <c r="U102" s="23"/>
      <c r="V102" s="23"/>
      <c r="W102" s="23"/>
    </row>
    <row r="103" ht="18.75" customHeight="1" spans="1:23">
      <c r="A103" s="25"/>
      <c r="B103" s="20" t="s">
        <v>351</v>
      </c>
      <c r="C103" s="20" t="s">
        <v>352</v>
      </c>
      <c r="D103" s="20" t="s">
        <v>178</v>
      </c>
      <c r="E103" s="20" t="s">
        <v>153</v>
      </c>
      <c r="F103" s="20" t="s">
        <v>353</v>
      </c>
      <c r="G103" s="20" t="s">
        <v>352</v>
      </c>
      <c r="H103" s="23">
        <v>10301.76</v>
      </c>
      <c r="I103" s="23">
        <v>10301.76</v>
      </c>
      <c r="J103" s="23"/>
      <c r="K103" s="23"/>
      <c r="L103" s="23">
        <v>10301.76</v>
      </c>
      <c r="M103" s="23"/>
      <c r="N103" s="23"/>
      <c r="O103" s="23"/>
      <c r="P103" s="23"/>
      <c r="Q103" s="23"/>
      <c r="R103" s="23"/>
      <c r="S103" s="23"/>
      <c r="T103" s="23"/>
      <c r="U103" s="23"/>
      <c r="V103" s="23"/>
      <c r="W103" s="23"/>
    </row>
    <row r="104" ht="18.75" customHeight="1" spans="1:23">
      <c r="A104" s="25"/>
      <c r="B104" s="20" t="s">
        <v>351</v>
      </c>
      <c r="C104" s="20" t="s">
        <v>352</v>
      </c>
      <c r="D104" s="20" t="s">
        <v>181</v>
      </c>
      <c r="E104" s="20" t="s">
        <v>182</v>
      </c>
      <c r="F104" s="20" t="s">
        <v>353</v>
      </c>
      <c r="G104" s="20" t="s">
        <v>352</v>
      </c>
      <c r="H104" s="23">
        <v>11630.4</v>
      </c>
      <c r="I104" s="23">
        <v>11630.4</v>
      </c>
      <c r="J104" s="23"/>
      <c r="K104" s="23"/>
      <c r="L104" s="23">
        <v>11630.4</v>
      </c>
      <c r="M104" s="23"/>
      <c r="N104" s="23"/>
      <c r="O104" s="23"/>
      <c r="P104" s="23"/>
      <c r="Q104" s="23"/>
      <c r="R104" s="23"/>
      <c r="S104" s="23"/>
      <c r="T104" s="23"/>
      <c r="U104" s="23"/>
      <c r="V104" s="23"/>
      <c r="W104" s="23"/>
    </row>
    <row r="105" ht="18.75" customHeight="1" spans="1:23">
      <c r="A105" s="25"/>
      <c r="B105" s="20" t="s">
        <v>351</v>
      </c>
      <c r="C105" s="20" t="s">
        <v>352</v>
      </c>
      <c r="D105" s="20" t="s">
        <v>189</v>
      </c>
      <c r="E105" s="20" t="s">
        <v>153</v>
      </c>
      <c r="F105" s="20" t="s">
        <v>353</v>
      </c>
      <c r="G105" s="20" t="s">
        <v>352</v>
      </c>
      <c r="H105" s="23">
        <v>3246.48</v>
      </c>
      <c r="I105" s="23">
        <v>3246.48</v>
      </c>
      <c r="J105" s="23"/>
      <c r="K105" s="23"/>
      <c r="L105" s="23">
        <v>3246.48</v>
      </c>
      <c r="M105" s="23"/>
      <c r="N105" s="23"/>
      <c r="O105" s="23"/>
      <c r="P105" s="23"/>
      <c r="Q105" s="23"/>
      <c r="R105" s="23"/>
      <c r="S105" s="23"/>
      <c r="T105" s="23"/>
      <c r="U105" s="23"/>
      <c r="V105" s="23"/>
      <c r="W105" s="23"/>
    </row>
    <row r="106" ht="18.75" customHeight="1" spans="1:23">
      <c r="A106" s="25"/>
      <c r="B106" s="20" t="s">
        <v>351</v>
      </c>
      <c r="C106" s="20" t="s">
        <v>352</v>
      </c>
      <c r="D106" s="20" t="s">
        <v>238</v>
      </c>
      <c r="E106" s="20" t="s">
        <v>239</v>
      </c>
      <c r="F106" s="20" t="s">
        <v>353</v>
      </c>
      <c r="G106" s="20" t="s">
        <v>352</v>
      </c>
      <c r="H106" s="23">
        <v>11745.36</v>
      </c>
      <c r="I106" s="23">
        <v>11745.36</v>
      </c>
      <c r="J106" s="23"/>
      <c r="K106" s="23"/>
      <c r="L106" s="23">
        <v>11745.36</v>
      </c>
      <c r="M106" s="23"/>
      <c r="N106" s="23"/>
      <c r="O106" s="23"/>
      <c r="P106" s="23"/>
      <c r="Q106" s="23"/>
      <c r="R106" s="23"/>
      <c r="S106" s="23"/>
      <c r="T106" s="23"/>
      <c r="U106" s="23"/>
      <c r="V106" s="23"/>
      <c r="W106" s="23"/>
    </row>
    <row r="107" ht="18.75" customHeight="1" spans="1:23">
      <c r="A107" s="25"/>
      <c r="B107" s="20" t="s">
        <v>351</v>
      </c>
      <c r="C107" s="20" t="s">
        <v>352</v>
      </c>
      <c r="D107" s="20" t="s">
        <v>245</v>
      </c>
      <c r="E107" s="20" t="s">
        <v>182</v>
      </c>
      <c r="F107" s="20" t="s">
        <v>353</v>
      </c>
      <c r="G107" s="20" t="s">
        <v>352</v>
      </c>
      <c r="H107" s="23">
        <v>27922.8</v>
      </c>
      <c r="I107" s="23">
        <v>27922.8</v>
      </c>
      <c r="J107" s="23"/>
      <c r="K107" s="23"/>
      <c r="L107" s="23">
        <v>27922.8</v>
      </c>
      <c r="M107" s="23"/>
      <c r="N107" s="23"/>
      <c r="O107" s="23"/>
      <c r="P107" s="23"/>
      <c r="Q107" s="23"/>
      <c r="R107" s="23"/>
      <c r="S107" s="23"/>
      <c r="T107" s="23"/>
      <c r="U107" s="23"/>
      <c r="V107" s="23"/>
      <c r="W107" s="23"/>
    </row>
    <row r="108" ht="18.75" customHeight="1" spans="1:23">
      <c r="A108" s="25"/>
      <c r="B108" s="20" t="s">
        <v>354</v>
      </c>
      <c r="C108" s="20" t="s">
        <v>355</v>
      </c>
      <c r="D108" s="20" t="s">
        <v>158</v>
      </c>
      <c r="E108" s="20" t="s">
        <v>153</v>
      </c>
      <c r="F108" s="20" t="s">
        <v>356</v>
      </c>
      <c r="G108" s="20" t="s">
        <v>355</v>
      </c>
      <c r="H108" s="23">
        <v>60000</v>
      </c>
      <c r="I108" s="23">
        <v>60000</v>
      </c>
      <c r="J108" s="23"/>
      <c r="K108" s="23"/>
      <c r="L108" s="23">
        <v>60000</v>
      </c>
      <c r="M108" s="23"/>
      <c r="N108" s="23"/>
      <c r="O108" s="23"/>
      <c r="P108" s="23"/>
      <c r="Q108" s="23"/>
      <c r="R108" s="23"/>
      <c r="S108" s="23"/>
      <c r="T108" s="23"/>
      <c r="U108" s="23"/>
      <c r="V108" s="23"/>
      <c r="W108" s="23"/>
    </row>
    <row r="109" ht="18.75" customHeight="1" spans="1:23">
      <c r="A109" s="25"/>
      <c r="B109" s="20" t="s">
        <v>357</v>
      </c>
      <c r="C109" s="20" t="s">
        <v>358</v>
      </c>
      <c r="D109" s="20" t="s">
        <v>152</v>
      </c>
      <c r="E109" s="20" t="s">
        <v>153</v>
      </c>
      <c r="F109" s="20" t="s">
        <v>359</v>
      </c>
      <c r="G109" s="20" t="s">
        <v>360</v>
      </c>
      <c r="H109" s="23">
        <v>9000</v>
      </c>
      <c r="I109" s="23">
        <v>9000</v>
      </c>
      <c r="J109" s="23"/>
      <c r="K109" s="23"/>
      <c r="L109" s="23">
        <v>9000</v>
      </c>
      <c r="M109" s="23"/>
      <c r="N109" s="23"/>
      <c r="O109" s="23"/>
      <c r="P109" s="23"/>
      <c r="Q109" s="23"/>
      <c r="R109" s="23"/>
      <c r="S109" s="23"/>
      <c r="T109" s="23"/>
      <c r="U109" s="23"/>
      <c r="V109" s="23"/>
      <c r="W109" s="23"/>
    </row>
    <row r="110" ht="18.75" customHeight="1" spans="1:23">
      <c r="A110" s="25"/>
      <c r="B110" s="20" t="s">
        <v>357</v>
      </c>
      <c r="C110" s="20" t="s">
        <v>358</v>
      </c>
      <c r="D110" s="20" t="s">
        <v>158</v>
      </c>
      <c r="E110" s="20" t="s">
        <v>153</v>
      </c>
      <c r="F110" s="20" t="s">
        <v>359</v>
      </c>
      <c r="G110" s="20" t="s">
        <v>360</v>
      </c>
      <c r="H110" s="23">
        <v>124800</v>
      </c>
      <c r="I110" s="23">
        <v>124800</v>
      </c>
      <c r="J110" s="23"/>
      <c r="K110" s="23"/>
      <c r="L110" s="23">
        <v>124800</v>
      </c>
      <c r="M110" s="23"/>
      <c r="N110" s="23"/>
      <c r="O110" s="23"/>
      <c r="P110" s="23"/>
      <c r="Q110" s="23"/>
      <c r="R110" s="23"/>
      <c r="S110" s="23"/>
      <c r="T110" s="23"/>
      <c r="U110" s="23"/>
      <c r="V110" s="23"/>
      <c r="W110" s="23"/>
    </row>
    <row r="111" ht="18.75" customHeight="1" spans="1:23">
      <c r="A111" s="25"/>
      <c r="B111" s="20" t="s">
        <v>357</v>
      </c>
      <c r="C111" s="20" t="s">
        <v>358</v>
      </c>
      <c r="D111" s="20" t="s">
        <v>172</v>
      </c>
      <c r="E111" s="20" t="s">
        <v>153</v>
      </c>
      <c r="F111" s="20" t="s">
        <v>359</v>
      </c>
      <c r="G111" s="20" t="s">
        <v>360</v>
      </c>
      <c r="H111" s="23">
        <v>9000</v>
      </c>
      <c r="I111" s="23">
        <v>9000</v>
      </c>
      <c r="J111" s="23"/>
      <c r="K111" s="23"/>
      <c r="L111" s="23">
        <v>9000</v>
      </c>
      <c r="M111" s="23"/>
      <c r="N111" s="23"/>
      <c r="O111" s="23"/>
      <c r="P111" s="23"/>
      <c r="Q111" s="23"/>
      <c r="R111" s="23"/>
      <c r="S111" s="23"/>
      <c r="T111" s="23"/>
      <c r="U111" s="23"/>
      <c r="V111" s="23"/>
      <c r="W111" s="23"/>
    </row>
    <row r="112" ht="18.75" customHeight="1" spans="1:23">
      <c r="A112" s="25"/>
      <c r="B112" s="20" t="s">
        <v>357</v>
      </c>
      <c r="C112" s="20" t="s">
        <v>358</v>
      </c>
      <c r="D112" s="20" t="s">
        <v>178</v>
      </c>
      <c r="E112" s="20" t="s">
        <v>153</v>
      </c>
      <c r="F112" s="20" t="s">
        <v>359</v>
      </c>
      <c r="G112" s="20" t="s">
        <v>360</v>
      </c>
      <c r="H112" s="23">
        <v>54000</v>
      </c>
      <c r="I112" s="23">
        <v>54000</v>
      </c>
      <c r="J112" s="23"/>
      <c r="K112" s="23"/>
      <c r="L112" s="23">
        <v>54000</v>
      </c>
      <c r="M112" s="23"/>
      <c r="N112" s="23"/>
      <c r="O112" s="23"/>
      <c r="P112" s="23"/>
      <c r="Q112" s="23"/>
      <c r="R112" s="23"/>
      <c r="S112" s="23"/>
      <c r="T112" s="23"/>
      <c r="U112" s="23"/>
      <c r="V112" s="23"/>
      <c r="W112" s="23"/>
    </row>
    <row r="113" ht="18.75" customHeight="1" spans="1:23">
      <c r="A113" s="25"/>
      <c r="B113" s="20" t="s">
        <v>357</v>
      </c>
      <c r="C113" s="20" t="s">
        <v>358</v>
      </c>
      <c r="D113" s="20" t="s">
        <v>189</v>
      </c>
      <c r="E113" s="20" t="s">
        <v>153</v>
      </c>
      <c r="F113" s="20" t="s">
        <v>359</v>
      </c>
      <c r="G113" s="20" t="s">
        <v>360</v>
      </c>
      <c r="H113" s="23">
        <v>18000</v>
      </c>
      <c r="I113" s="23">
        <v>18000</v>
      </c>
      <c r="J113" s="23"/>
      <c r="K113" s="23"/>
      <c r="L113" s="23">
        <v>18000</v>
      </c>
      <c r="M113" s="23"/>
      <c r="N113" s="23"/>
      <c r="O113" s="23"/>
      <c r="P113" s="23"/>
      <c r="Q113" s="23"/>
      <c r="R113" s="23"/>
      <c r="S113" s="23"/>
      <c r="T113" s="23"/>
      <c r="U113" s="23"/>
      <c r="V113" s="23"/>
      <c r="W113" s="23"/>
    </row>
    <row r="114" ht="18.75" customHeight="1" spans="1:23">
      <c r="A114" s="25"/>
      <c r="B114" s="20" t="s">
        <v>361</v>
      </c>
      <c r="C114" s="20" t="s">
        <v>362</v>
      </c>
      <c r="D114" s="20" t="s">
        <v>158</v>
      </c>
      <c r="E114" s="20" t="s">
        <v>153</v>
      </c>
      <c r="F114" s="20" t="s">
        <v>363</v>
      </c>
      <c r="G114" s="20" t="s">
        <v>364</v>
      </c>
      <c r="H114" s="23">
        <v>64080.9</v>
      </c>
      <c r="I114" s="23">
        <v>64080.9</v>
      </c>
      <c r="J114" s="23"/>
      <c r="K114" s="23"/>
      <c r="L114" s="23">
        <v>64080.9</v>
      </c>
      <c r="M114" s="23"/>
      <c r="N114" s="23"/>
      <c r="O114" s="23"/>
      <c r="P114" s="23"/>
      <c r="Q114" s="23"/>
      <c r="R114" s="23"/>
      <c r="S114" s="23"/>
      <c r="T114" s="23"/>
      <c r="U114" s="23"/>
      <c r="V114" s="23"/>
      <c r="W114" s="23"/>
    </row>
    <row r="115" ht="18.75" customHeight="1" spans="1:23">
      <c r="A115" s="25"/>
      <c r="B115" s="20" t="s">
        <v>365</v>
      </c>
      <c r="C115" s="20" t="s">
        <v>366</v>
      </c>
      <c r="D115" s="20" t="s">
        <v>204</v>
      </c>
      <c r="E115" s="20" t="s">
        <v>205</v>
      </c>
      <c r="F115" s="20" t="s">
        <v>367</v>
      </c>
      <c r="G115" s="20" t="s">
        <v>368</v>
      </c>
      <c r="H115" s="23">
        <v>320890.2</v>
      </c>
      <c r="I115" s="23">
        <v>320890.2</v>
      </c>
      <c r="J115" s="23"/>
      <c r="K115" s="23"/>
      <c r="L115" s="23">
        <v>320890.2</v>
      </c>
      <c r="M115" s="23"/>
      <c r="N115" s="23"/>
      <c r="O115" s="23"/>
      <c r="P115" s="23"/>
      <c r="Q115" s="23"/>
      <c r="R115" s="23"/>
      <c r="S115" s="23"/>
      <c r="T115" s="23"/>
      <c r="U115" s="23"/>
      <c r="V115" s="23"/>
      <c r="W115" s="23"/>
    </row>
    <row r="116" ht="18.75" customHeight="1" spans="1:23">
      <c r="A116" s="25"/>
      <c r="B116" s="20" t="s">
        <v>369</v>
      </c>
      <c r="C116" s="20" t="s">
        <v>370</v>
      </c>
      <c r="D116" s="20" t="s">
        <v>158</v>
      </c>
      <c r="E116" s="20" t="s">
        <v>153</v>
      </c>
      <c r="F116" s="20" t="s">
        <v>336</v>
      </c>
      <c r="G116" s="20" t="s">
        <v>337</v>
      </c>
      <c r="H116" s="23">
        <v>29000</v>
      </c>
      <c r="I116" s="23">
        <v>29000</v>
      </c>
      <c r="J116" s="23"/>
      <c r="K116" s="23"/>
      <c r="L116" s="23">
        <v>29000</v>
      </c>
      <c r="M116" s="23"/>
      <c r="N116" s="23"/>
      <c r="O116" s="23"/>
      <c r="P116" s="23"/>
      <c r="Q116" s="23"/>
      <c r="R116" s="23"/>
      <c r="S116" s="23"/>
      <c r="T116" s="23"/>
      <c r="U116" s="23"/>
      <c r="V116" s="23"/>
      <c r="W116" s="23"/>
    </row>
    <row r="117" ht="18.75" customHeight="1" spans="1:23">
      <c r="A117" s="25"/>
      <c r="B117" s="20" t="s">
        <v>371</v>
      </c>
      <c r="C117" s="20" t="s">
        <v>372</v>
      </c>
      <c r="D117" s="20" t="s">
        <v>172</v>
      </c>
      <c r="E117" s="20" t="s">
        <v>153</v>
      </c>
      <c r="F117" s="20" t="s">
        <v>336</v>
      </c>
      <c r="G117" s="20" t="s">
        <v>337</v>
      </c>
      <c r="H117" s="23">
        <v>12000</v>
      </c>
      <c r="I117" s="23">
        <v>12000</v>
      </c>
      <c r="J117" s="23"/>
      <c r="K117" s="23"/>
      <c r="L117" s="23">
        <v>12000</v>
      </c>
      <c r="M117" s="23"/>
      <c r="N117" s="23"/>
      <c r="O117" s="23"/>
      <c r="P117" s="23"/>
      <c r="Q117" s="23"/>
      <c r="R117" s="23"/>
      <c r="S117" s="23"/>
      <c r="T117" s="23"/>
      <c r="U117" s="23"/>
      <c r="V117" s="23"/>
      <c r="W117" s="23"/>
    </row>
    <row r="118" ht="18.75" customHeight="1" spans="1:23">
      <c r="A118" s="25"/>
      <c r="B118" s="20" t="s">
        <v>373</v>
      </c>
      <c r="C118" s="20" t="s">
        <v>374</v>
      </c>
      <c r="D118" s="20" t="s">
        <v>158</v>
      </c>
      <c r="E118" s="20" t="s">
        <v>153</v>
      </c>
      <c r="F118" s="20" t="s">
        <v>375</v>
      </c>
      <c r="G118" s="20" t="s">
        <v>376</v>
      </c>
      <c r="H118" s="23">
        <v>230400</v>
      </c>
      <c r="I118" s="23">
        <v>230400</v>
      </c>
      <c r="J118" s="23"/>
      <c r="K118" s="23"/>
      <c r="L118" s="23">
        <v>230400</v>
      </c>
      <c r="M118" s="23"/>
      <c r="N118" s="23"/>
      <c r="O118" s="23"/>
      <c r="P118" s="23"/>
      <c r="Q118" s="23"/>
      <c r="R118" s="23"/>
      <c r="S118" s="23"/>
      <c r="T118" s="23"/>
      <c r="U118" s="23"/>
      <c r="V118" s="23"/>
      <c r="W118" s="23"/>
    </row>
    <row r="119" ht="18.75" customHeight="1" spans="1:23">
      <c r="A119" s="25"/>
      <c r="B119" s="20" t="s">
        <v>373</v>
      </c>
      <c r="C119" s="20" t="s">
        <v>374</v>
      </c>
      <c r="D119" s="20" t="s">
        <v>158</v>
      </c>
      <c r="E119" s="20" t="s">
        <v>153</v>
      </c>
      <c r="F119" s="20" t="s">
        <v>375</v>
      </c>
      <c r="G119" s="20" t="s">
        <v>376</v>
      </c>
      <c r="H119" s="23">
        <v>172800</v>
      </c>
      <c r="I119" s="23">
        <v>172800</v>
      </c>
      <c r="J119" s="23"/>
      <c r="K119" s="23"/>
      <c r="L119" s="23">
        <v>172800</v>
      </c>
      <c r="M119" s="23"/>
      <c r="N119" s="23"/>
      <c r="O119" s="23"/>
      <c r="P119" s="23"/>
      <c r="Q119" s="23"/>
      <c r="R119" s="23"/>
      <c r="S119" s="23"/>
      <c r="T119" s="23"/>
      <c r="U119" s="23"/>
      <c r="V119" s="23"/>
      <c r="W119" s="23"/>
    </row>
    <row r="120" ht="18.75" customHeight="1" spans="1:23">
      <c r="A120" s="25"/>
      <c r="B120" s="20" t="s">
        <v>373</v>
      </c>
      <c r="C120" s="20" t="s">
        <v>374</v>
      </c>
      <c r="D120" s="20" t="s">
        <v>158</v>
      </c>
      <c r="E120" s="20" t="s">
        <v>153</v>
      </c>
      <c r="F120" s="20" t="s">
        <v>375</v>
      </c>
      <c r="G120" s="20" t="s">
        <v>376</v>
      </c>
      <c r="H120" s="23">
        <v>172800</v>
      </c>
      <c r="I120" s="23">
        <v>172800</v>
      </c>
      <c r="J120" s="23"/>
      <c r="K120" s="23"/>
      <c r="L120" s="23">
        <v>172800</v>
      </c>
      <c r="M120" s="23"/>
      <c r="N120" s="23"/>
      <c r="O120" s="23"/>
      <c r="P120" s="23"/>
      <c r="Q120" s="23"/>
      <c r="R120" s="23"/>
      <c r="S120" s="23"/>
      <c r="T120" s="23"/>
      <c r="U120" s="23"/>
      <c r="V120" s="23"/>
      <c r="W120" s="23"/>
    </row>
    <row r="121" ht="18.75" customHeight="1" spans="1:23">
      <c r="A121" s="25"/>
      <c r="B121" s="20" t="s">
        <v>373</v>
      </c>
      <c r="C121" s="20" t="s">
        <v>374</v>
      </c>
      <c r="D121" s="20" t="s">
        <v>158</v>
      </c>
      <c r="E121" s="20" t="s">
        <v>153</v>
      </c>
      <c r="F121" s="20" t="s">
        <v>375</v>
      </c>
      <c r="G121" s="20" t="s">
        <v>376</v>
      </c>
      <c r="H121" s="23">
        <v>172800</v>
      </c>
      <c r="I121" s="23">
        <v>172800</v>
      </c>
      <c r="J121" s="23"/>
      <c r="K121" s="23"/>
      <c r="L121" s="23">
        <v>172800</v>
      </c>
      <c r="M121" s="23"/>
      <c r="N121" s="23"/>
      <c r="O121" s="23"/>
      <c r="P121" s="23"/>
      <c r="Q121" s="23"/>
      <c r="R121" s="23"/>
      <c r="S121" s="23"/>
      <c r="T121" s="23"/>
      <c r="U121" s="23"/>
      <c r="V121" s="23"/>
      <c r="W121" s="23"/>
    </row>
    <row r="122" ht="18.75" customHeight="1" spans="1:23">
      <c r="A122" s="25"/>
      <c r="B122" s="20" t="s">
        <v>377</v>
      </c>
      <c r="C122" s="20" t="s">
        <v>378</v>
      </c>
      <c r="D122" s="20" t="s">
        <v>175</v>
      </c>
      <c r="E122" s="20" t="s">
        <v>153</v>
      </c>
      <c r="F122" s="20" t="s">
        <v>375</v>
      </c>
      <c r="G122" s="20" t="s">
        <v>376</v>
      </c>
      <c r="H122" s="23">
        <v>1200</v>
      </c>
      <c r="I122" s="23">
        <v>1200</v>
      </c>
      <c r="J122" s="23"/>
      <c r="K122" s="23"/>
      <c r="L122" s="23">
        <v>1200</v>
      </c>
      <c r="M122" s="23"/>
      <c r="N122" s="23"/>
      <c r="O122" s="23"/>
      <c r="P122" s="23"/>
      <c r="Q122" s="23"/>
      <c r="R122" s="23"/>
      <c r="S122" s="23"/>
      <c r="T122" s="23"/>
      <c r="U122" s="23"/>
      <c r="V122" s="23"/>
      <c r="W122" s="23"/>
    </row>
    <row r="123" ht="18.75" customHeight="1" spans="1:23">
      <c r="A123" s="25"/>
      <c r="B123" s="20" t="s">
        <v>377</v>
      </c>
      <c r="C123" s="20" t="s">
        <v>378</v>
      </c>
      <c r="D123" s="20" t="s">
        <v>175</v>
      </c>
      <c r="E123" s="20" t="s">
        <v>153</v>
      </c>
      <c r="F123" s="20" t="s">
        <v>375</v>
      </c>
      <c r="G123" s="20" t="s">
        <v>376</v>
      </c>
      <c r="H123" s="23">
        <v>4800</v>
      </c>
      <c r="I123" s="23">
        <v>4800</v>
      </c>
      <c r="J123" s="23"/>
      <c r="K123" s="23"/>
      <c r="L123" s="23">
        <v>4800</v>
      </c>
      <c r="M123" s="23"/>
      <c r="N123" s="23"/>
      <c r="O123" s="23"/>
      <c r="P123" s="23"/>
      <c r="Q123" s="23"/>
      <c r="R123" s="23"/>
      <c r="S123" s="23"/>
      <c r="T123" s="23"/>
      <c r="U123" s="23"/>
      <c r="V123" s="23"/>
      <c r="W123" s="23"/>
    </row>
    <row r="124" ht="18.75" customHeight="1" spans="1:23">
      <c r="A124" s="25"/>
      <c r="B124" s="20" t="s">
        <v>377</v>
      </c>
      <c r="C124" s="20" t="s">
        <v>378</v>
      </c>
      <c r="D124" s="20" t="s">
        <v>178</v>
      </c>
      <c r="E124" s="20" t="s">
        <v>153</v>
      </c>
      <c r="F124" s="20" t="s">
        <v>375</v>
      </c>
      <c r="G124" s="20" t="s">
        <v>376</v>
      </c>
      <c r="H124" s="23">
        <v>48000</v>
      </c>
      <c r="I124" s="23">
        <v>48000</v>
      </c>
      <c r="J124" s="23"/>
      <c r="K124" s="23"/>
      <c r="L124" s="23">
        <v>48000</v>
      </c>
      <c r="M124" s="23"/>
      <c r="N124" s="23"/>
      <c r="O124" s="23"/>
      <c r="P124" s="23"/>
      <c r="Q124" s="23"/>
      <c r="R124" s="23"/>
      <c r="S124" s="23"/>
      <c r="T124" s="23"/>
      <c r="U124" s="23"/>
      <c r="V124" s="23"/>
      <c r="W124" s="23"/>
    </row>
    <row r="125" ht="18.75" customHeight="1" spans="1:23">
      <c r="A125" s="25"/>
      <c r="B125" s="20" t="s">
        <v>377</v>
      </c>
      <c r="C125" s="20" t="s">
        <v>378</v>
      </c>
      <c r="D125" s="20" t="s">
        <v>185</v>
      </c>
      <c r="E125" s="20" t="s">
        <v>186</v>
      </c>
      <c r="F125" s="20" t="s">
        <v>375</v>
      </c>
      <c r="G125" s="20" t="s">
        <v>376</v>
      </c>
      <c r="H125" s="23">
        <v>9600</v>
      </c>
      <c r="I125" s="23">
        <v>9600</v>
      </c>
      <c r="J125" s="23"/>
      <c r="K125" s="23"/>
      <c r="L125" s="23">
        <v>9600</v>
      </c>
      <c r="M125" s="23"/>
      <c r="N125" s="23"/>
      <c r="O125" s="23"/>
      <c r="P125" s="23"/>
      <c r="Q125" s="23"/>
      <c r="R125" s="23"/>
      <c r="S125" s="23"/>
      <c r="T125" s="23"/>
      <c r="U125" s="23"/>
      <c r="V125" s="23"/>
      <c r="W125" s="23"/>
    </row>
    <row r="126" ht="18.75" customHeight="1" spans="1:23">
      <c r="A126" s="25"/>
      <c r="B126" s="20" t="s">
        <v>377</v>
      </c>
      <c r="C126" s="20" t="s">
        <v>378</v>
      </c>
      <c r="D126" s="20" t="s">
        <v>192</v>
      </c>
      <c r="E126" s="20" t="s">
        <v>193</v>
      </c>
      <c r="F126" s="20" t="s">
        <v>375</v>
      </c>
      <c r="G126" s="20" t="s">
        <v>376</v>
      </c>
      <c r="H126" s="23">
        <v>15360</v>
      </c>
      <c r="I126" s="23">
        <v>15360</v>
      </c>
      <c r="J126" s="23"/>
      <c r="K126" s="23"/>
      <c r="L126" s="23">
        <v>15360</v>
      </c>
      <c r="M126" s="23"/>
      <c r="N126" s="23"/>
      <c r="O126" s="23"/>
      <c r="P126" s="23"/>
      <c r="Q126" s="23"/>
      <c r="R126" s="23"/>
      <c r="S126" s="23"/>
      <c r="T126" s="23"/>
      <c r="U126" s="23"/>
      <c r="V126" s="23"/>
      <c r="W126" s="23"/>
    </row>
    <row r="127" ht="18.75" customHeight="1" spans="1:23">
      <c r="A127" s="25"/>
      <c r="B127" s="20" t="s">
        <v>377</v>
      </c>
      <c r="C127" s="20" t="s">
        <v>378</v>
      </c>
      <c r="D127" s="20" t="s">
        <v>196</v>
      </c>
      <c r="E127" s="20" t="s">
        <v>197</v>
      </c>
      <c r="F127" s="20" t="s">
        <v>375</v>
      </c>
      <c r="G127" s="20" t="s">
        <v>376</v>
      </c>
      <c r="H127" s="23">
        <v>48000</v>
      </c>
      <c r="I127" s="23">
        <v>48000</v>
      </c>
      <c r="J127" s="23"/>
      <c r="K127" s="23"/>
      <c r="L127" s="23">
        <v>48000</v>
      </c>
      <c r="M127" s="23"/>
      <c r="N127" s="23"/>
      <c r="O127" s="23"/>
      <c r="P127" s="23"/>
      <c r="Q127" s="23"/>
      <c r="R127" s="23"/>
      <c r="S127" s="23"/>
      <c r="T127" s="23"/>
      <c r="U127" s="23"/>
      <c r="V127" s="23"/>
      <c r="W127" s="23"/>
    </row>
    <row r="128" ht="18.75" customHeight="1" spans="1:23">
      <c r="A128" s="25"/>
      <c r="B128" s="20" t="s">
        <v>377</v>
      </c>
      <c r="C128" s="20" t="s">
        <v>378</v>
      </c>
      <c r="D128" s="20" t="s">
        <v>200</v>
      </c>
      <c r="E128" s="20" t="s">
        <v>201</v>
      </c>
      <c r="F128" s="20" t="s">
        <v>375</v>
      </c>
      <c r="G128" s="20" t="s">
        <v>376</v>
      </c>
      <c r="H128" s="23">
        <v>169920</v>
      </c>
      <c r="I128" s="23">
        <v>169920</v>
      </c>
      <c r="J128" s="23"/>
      <c r="K128" s="23"/>
      <c r="L128" s="23">
        <v>169920</v>
      </c>
      <c r="M128" s="23"/>
      <c r="N128" s="23"/>
      <c r="O128" s="23"/>
      <c r="P128" s="23"/>
      <c r="Q128" s="23"/>
      <c r="R128" s="23"/>
      <c r="S128" s="23"/>
      <c r="T128" s="23"/>
      <c r="U128" s="23"/>
      <c r="V128" s="23"/>
      <c r="W128" s="23"/>
    </row>
    <row r="129" ht="18.75" customHeight="1" spans="1:23">
      <c r="A129" s="25"/>
      <c r="B129" s="20" t="s">
        <v>377</v>
      </c>
      <c r="C129" s="20" t="s">
        <v>378</v>
      </c>
      <c r="D129" s="20" t="s">
        <v>214</v>
      </c>
      <c r="E129" s="20" t="s">
        <v>215</v>
      </c>
      <c r="F129" s="20" t="s">
        <v>375</v>
      </c>
      <c r="G129" s="20" t="s">
        <v>376</v>
      </c>
      <c r="H129" s="23">
        <v>14400</v>
      </c>
      <c r="I129" s="23">
        <v>14400</v>
      </c>
      <c r="J129" s="23"/>
      <c r="K129" s="23"/>
      <c r="L129" s="23">
        <v>14400</v>
      </c>
      <c r="M129" s="23"/>
      <c r="N129" s="23"/>
      <c r="O129" s="23"/>
      <c r="P129" s="23"/>
      <c r="Q129" s="23"/>
      <c r="R129" s="23"/>
      <c r="S129" s="23"/>
      <c r="T129" s="23"/>
      <c r="U129" s="23"/>
      <c r="V129" s="23"/>
      <c r="W129" s="23"/>
    </row>
    <row r="130" ht="18.75" customHeight="1" spans="1:23">
      <c r="A130" s="25"/>
      <c r="B130" s="20" t="s">
        <v>377</v>
      </c>
      <c r="C130" s="20" t="s">
        <v>378</v>
      </c>
      <c r="D130" s="20" t="s">
        <v>218</v>
      </c>
      <c r="E130" s="20" t="s">
        <v>219</v>
      </c>
      <c r="F130" s="20" t="s">
        <v>375</v>
      </c>
      <c r="G130" s="20" t="s">
        <v>376</v>
      </c>
      <c r="H130" s="23">
        <v>19200</v>
      </c>
      <c r="I130" s="23">
        <v>19200</v>
      </c>
      <c r="J130" s="23"/>
      <c r="K130" s="23"/>
      <c r="L130" s="23">
        <v>19200</v>
      </c>
      <c r="M130" s="23"/>
      <c r="N130" s="23"/>
      <c r="O130" s="23"/>
      <c r="P130" s="23"/>
      <c r="Q130" s="23"/>
      <c r="R130" s="23"/>
      <c r="S130" s="23"/>
      <c r="T130" s="23"/>
      <c r="U130" s="23"/>
      <c r="V130" s="23"/>
      <c r="W130" s="23"/>
    </row>
    <row r="131" ht="18.75" customHeight="1" spans="1:23">
      <c r="A131" s="25"/>
      <c r="B131" s="20" t="s">
        <v>377</v>
      </c>
      <c r="C131" s="20" t="s">
        <v>378</v>
      </c>
      <c r="D131" s="20" t="s">
        <v>242</v>
      </c>
      <c r="E131" s="20" t="s">
        <v>241</v>
      </c>
      <c r="F131" s="20" t="s">
        <v>375</v>
      </c>
      <c r="G131" s="20" t="s">
        <v>376</v>
      </c>
      <c r="H131" s="23">
        <v>169920</v>
      </c>
      <c r="I131" s="23">
        <v>169920</v>
      </c>
      <c r="J131" s="23"/>
      <c r="K131" s="23"/>
      <c r="L131" s="23">
        <v>169920</v>
      </c>
      <c r="M131" s="23"/>
      <c r="N131" s="23"/>
      <c r="O131" s="23"/>
      <c r="P131" s="23"/>
      <c r="Q131" s="23"/>
      <c r="R131" s="23"/>
      <c r="S131" s="23"/>
      <c r="T131" s="23"/>
      <c r="U131" s="23"/>
      <c r="V131" s="23"/>
      <c r="W131" s="23"/>
    </row>
    <row r="132" ht="18.75" customHeight="1" spans="1:23">
      <c r="A132" s="25"/>
      <c r="B132" s="20" t="s">
        <v>377</v>
      </c>
      <c r="C132" s="20" t="s">
        <v>378</v>
      </c>
      <c r="D132" s="20" t="s">
        <v>260</v>
      </c>
      <c r="E132" s="20" t="s">
        <v>153</v>
      </c>
      <c r="F132" s="20" t="s">
        <v>375</v>
      </c>
      <c r="G132" s="20" t="s">
        <v>376</v>
      </c>
      <c r="H132" s="23">
        <v>9600</v>
      </c>
      <c r="I132" s="23">
        <v>9600</v>
      </c>
      <c r="J132" s="23"/>
      <c r="K132" s="23"/>
      <c r="L132" s="23">
        <v>9600</v>
      </c>
      <c r="M132" s="23"/>
      <c r="N132" s="23"/>
      <c r="O132" s="23"/>
      <c r="P132" s="23"/>
      <c r="Q132" s="23"/>
      <c r="R132" s="23"/>
      <c r="S132" s="23"/>
      <c r="T132" s="23"/>
      <c r="U132" s="23"/>
      <c r="V132" s="23"/>
      <c r="W132" s="23"/>
    </row>
    <row r="133" ht="18.75" customHeight="1" spans="1:23">
      <c r="A133" s="25"/>
      <c r="B133" s="20" t="s">
        <v>379</v>
      </c>
      <c r="C133" s="20" t="s">
        <v>380</v>
      </c>
      <c r="D133" s="20" t="s">
        <v>158</v>
      </c>
      <c r="E133" s="20" t="s">
        <v>153</v>
      </c>
      <c r="F133" s="20" t="s">
        <v>375</v>
      </c>
      <c r="G133" s="20" t="s">
        <v>376</v>
      </c>
      <c r="H133" s="23">
        <v>84000</v>
      </c>
      <c r="I133" s="23">
        <v>84000</v>
      </c>
      <c r="J133" s="23"/>
      <c r="K133" s="23"/>
      <c r="L133" s="23">
        <v>84000</v>
      </c>
      <c r="M133" s="23"/>
      <c r="N133" s="23"/>
      <c r="O133" s="23"/>
      <c r="P133" s="23"/>
      <c r="Q133" s="23"/>
      <c r="R133" s="23"/>
      <c r="S133" s="23"/>
      <c r="T133" s="23"/>
      <c r="U133" s="23"/>
      <c r="V133" s="23"/>
      <c r="W133" s="23"/>
    </row>
    <row r="134" ht="18.75" customHeight="1" spans="1:23">
      <c r="A134" s="25"/>
      <c r="B134" s="20" t="s">
        <v>381</v>
      </c>
      <c r="C134" s="20" t="s">
        <v>382</v>
      </c>
      <c r="D134" s="20" t="s">
        <v>158</v>
      </c>
      <c r="E134" s="20" t="s">
        <v>153</v>
      </c>
      <c r="F134" s="20" t="s">
        <v>375</v>
      </c>
      <c r="G134" s="20" t="s">
        <v>376</v>
      </c>
      <c r="H134" s="23">
        <v>117600</v>
      </c>
      <c r="I134" s="23">
        <v>117600</v>
      </c>
      <c r="J134" s="23"/>
      <c r="K134" s="23"/>
      <c r="L134" s="23">
        <v>117600</v>
      </c>
      <c r="M134" s="23"/>
      <c r="N134" s="23"/>
      <c r="O134" s="23"/>
      <c r="P134" s="23"/>
      <c r="Q134" s="23"/>
      <c r="R134" s="23"/>
      <c r="S134" s="23"/>
      <c r="T134" s="23"/>
      <c r="U134" s="23"/>
      <c r="V134" s="23"/>
      <c r="W134" s="23"/>
    </row>
    <row r="135" ht="18.75" customHeight="1" spans="1:23">
      <c r="A135" s="25"/>
      <c r="B135" s="20" t="s">
        <v>383</v>
      </c>
      <c r="C135" s="20" t="s">
        <v>384</v>
      </c>
      <c r="D135" s="20" t="s">
        <v>158</v>
      </c>
      <c r="E135" s="20" t="s">
        <v>153</v>
      </c>
      <c r="F135" s="20" t="s">
        <v>375</v>
      </c>
      <c r="G135" s="20" t="s">
        <v>376</v>
      </c>
      <c r="H135" s="23">
        <v>336000</v>
      </c>
      <c r="I135" s="23">
        <v>336000</v>
      </c>
      <c r="J135" s="23"/>
      <c r="K135" s="23"/>
      <c r="L135" s="23">
        <v>336000</v>
      </c>
      <c r="M135" s="23"/>
      <c r="N135" s="23"/>
      <c r="O135" s="23"/>
      <c r="P135" s="23"/>
      <c r="Q135" s="23"/>
      <c r="R135" s="23"/>
      <c r="S135" s="23"/>
      <c r="T135" s="23"/>
      <c r="U135" s="23"/>
      <c r="V135" s="23"/>
      <c r="W135" s="23"/>
    </row>
    <row r="136" ht="18.75" customHeight="1" spans="1:23">
      <c r="A136" s="25"/>
      <c r="B136" s="20" t="s">
        <v>385</v>
      </c>
      <c r="C136" s="20" t="s">
        <v>386</v>
      </c>
      <c r="D136" s="20" t="s">
        <v>158</v>
      </c>
      <c r="E136" s="20" t="s">
        <v>153</v>
      </c>
      <c r="F136" s="20" t="s">
        <v>375</v>
      </c>
      <c r="G136" s="20" t="s">
        <v>376</v>
      </c>
      <c r="H136" s="23">
        <v>270000</v>
      </c>
      <c r="I136" s="23">
        <v>270000</v>
      </c>
      <c r="J136" s="23"/>
      <c r="K136" s="23"/>
      <c r="L136" s="23">
        <v>270000</v>
      </c>
      <c r="M136" s="23"/>
      <c r="N136" s="23"/>
      <c r="O136" s="23"/>
      <c r="P136" s="23"/>
      <c r="Q136" s="23"/>
      <c r="R136" s="23"/>
      <c r="S136" s="23"/>
      <c r="T136" s="23"/>
      <c r="U136" s="23"/>
      <c r="V136" s="23"/>
      <c r="W136" s="23"/>
    </row>
    <row r="137" ht="18.75" customHeight="1" spans="1:23">
      <c r="A137" s="25"/>
      <c r="B137" s="20" t="s">
        <v>387</v>
      </c>
      <c r="C137" s="20" t="s">
        <v>388</v>
      </c>
      <c r="D137" s="20" t="s">
        <v>158</v>
      </c>
      <c r="E137" s="20" t="s">
        <v>153</v>
      </c>
      <c r="F137" s="20" t="s">
        <v>375</v>
      </c>
      <c r="G137" s="20" t="s">
        <v>376</v>
      </c>
      <c r="H137" s="23">
        <v>117600</v>
      </c>
      <c r="I137" s="23">
        <v>117600</v>
      </c>
      <c r="J137" s="23"/>
      <c r="K137" s="23"/>
      <c r="L137" s="23">
        <v>117600</v>
      </c>
      <c r="M137" s="23"/>
      <c r="N137" s="23"/>
      <c r="O137" s="23"/>
      <c r="P137" s="23"/>
      <c r="Q137" s="23"/>
      <c r="R137" s="23"/>
      <c r="S137" s="23"/>
      <c r="T137" s="23"/>
      <c r="U137" s="23"/>
      <c r="V137" s="23"/>
      <c r="W137" s="23"/>
    </row>
    <row r="138" ht="18.75" customHeight="1" spans="1:23">
      <c r="A138" s="25"/>
      <c r="B138" s="20" t="s">
        <v>389</v>
      </c>
      <c r="C138" s="20" t="s">
        <v>390</v>
      </c>
      <c r="D138" s="20" t="s">
        <v>158</v>
      </c>
      <c r="E138" s="20" t="s">
        <v>153</v>
      </c>
      <c r="F138" s="20" t="s">
        <v>375</v>
      </c>
      <c r="G138" s="20" t="s">
        <v>376</v>
      </c>
      <c r="H138" s="23">
        <v>21600</v>
      </c>
      <c r="I138" s="23">
        <v>21600</v>
      </c>
      <c r="J138" s="23"/>
      <c r="K138" s="23"/>
      <c r="L138" s="23">
        <v>21600</v>
      </c>
      <c r="M138" s="23"/>
      <c r="N138" s="23"/>
      <c r="O138" s="23"/>
      <c r="P138" s="23"/>
      <c r="Q138" s="23"/>
      <c r="R138" s="23"/>
      <c r="S138" s="23"/>
      <c r="T138" s="23"/>
      <c r="U138" s="23"/>
      <c r="V138" s="23"/>
      <c r="W138" s="23"/>
    </row>
    <row r="139" ht="18.75" customHeight="1" spans="1:23">
      <c r="A139" s="25"/>
      <c r="B139" s="20" t="s">
        <v>391</v>
      </c>
      <c r="C139" s="20" t="s">
        <v>392</v>
      </c>
      <c r="D139" s="20" t="s">
        <v>222</v>
      </c>
      <c r="E139" s="20" t="s">
        <v>223</v>
      </c>
      <c r="F139" s="20" t="s">
        <v>375</v>
      </c>
      <c r="G139" s="20" t="s">
        <v>376</v>
      </c>
      <c r="H139" s="23">
        <v>85440</v>
      </c>
      <c r="I139" s="23">
        <v>85440</v>
      </c>
      <c r="J139" s="23"/>
      <c r="K139" s="23"/>
      <c r="L139" s="23">
        <v>85440</v>
      </c>
      <c r="M139" s="23"/>
      <c r="N139" s="23"/>
      <c r="O139" s="23"/>
      <c r="P139" s="23"/>
      <c r="Q139" s="23"/>
      <c r="R139" s="23"/>
      <c r="S139" s="23"/>
      <c r="T139" s="23"/>
      <c r="U139" s="23"/>
      <c r="V139" s="23"/>
      <c r="W139" s="23"/>
    </row>
    <row r="140" ht="18.75" customHeight="1" spans="1:23">
      <c r="A140" s="25"/>
      <c r="B140" s="20" t="s">
        <v>393</v>
      </c>
      <c r="C140" s="20" t="s">
        <v>394</v>
      </c>
      <c r="D140" s="20" t="s">
        <v>222</v>
      </c>
      <c r="E140" s="20" t="s">
        <v>223</v>
      </c>
      <c r="F140" s="20" t="s">
        <v>375</v>
      </c>
      <c r="G140" s="20" t="s">
        <v>376</v>
      </c>
      <c r="H140" s="23">
        <v>24480</v>
      </c>
      <c r="I140" s="23">
        <v>24480</v>
      </c>
      <c r="J140" s="23"/>
      <c r="K140" s="23"/>
      <c r="L140" s="23">
        <v>24480</v>
      </c>
      <c r="M140" s="23"/>
      <c r="N140" s="23"/>
      <c r="O140" s="23"/>
      <c r="P140" s="23"/>
      <c r="Q140" s="23"/>
      <c r="R140" s="23"/>
      <c r="S140" s="23"/>
      <c r="T140" s="23"/>
      <c r="U140" s="23"/>
      <c r="V140" s="23"/>
      <c r="W140" s="23"/>
    </row>
    <row r="141" ht="18.75" customHeight="1" spans="1:23">
      <c r="A141" s="25"/>
      <c r="B141" s="20" t="s">
        <v>395</v>
      </c>
      <c r="C141" s="20" t="s">
        <v>396</v>
      </c>
      <c r="D141" s="20" t="s">
        <v>158</v>
      </c>
      <c r="E141" s="20" t="s">
        <v>153</v>
      </c>
      <c r="F141" s="20" t="s">
        <v>375</v>
      </c>
      <c r="G141" s="20" t="s">
        <v>376</v>
      </c>
      <c r="H141" s="23">
        <v>172800</v>
      </c>
      <c r="I141" s="23">
        <v>172800</v>
      </c>
      <c r="J141" s="23"/>
      <c r="K141" s="23"/>
      <c r="L141" s="23">
        <v>172800</v>
      </c>
      <c r="M141" s="23"/>
      <c r="N141" s="23"/>
      <c r="O141" s="23"/>
      <c r="P141" s="23"/>
      <c r="Q141" s="23"/>
      <c r="R141" s="23"/>
      <c r="S141" s="23"/>
      <c r="T141" s="23"/>
      <c r="U141" s="23"/>
      <c r="V141" s="23"/>
      <c r="W141" s="23"/>
    </row>
    <row r="142" ht="18.75" customHeight="1" spans="1:23">
      <c r="A142" s="25"/>
      <c r="B142" s="20" t="s">
        <v>397</v>
      </c>
      <c r="C142" s="20" t="s">
        <v>398</v>
      </c>
      <c r="D142" s="20" t="s">
        <v>158</v>
      </c>
      <c r="E142" s="20" t="s">
        <v>153</v>
      </c>
      <c r="F142" s="20" t="s">
        <v>375</v>
      </c>
      <c r="G142" s="20" t="s">
        <v>376</v>
      </c>
      <c r="H142" s="23">
        <v>188928</v>
      </c>
      <c r="I142" s="23">
        <v>188928</v>
      </c>
      <c r="J142" s="23"/>
      <c r="K142" s="23"/>
      <c r="L142" s="23">
        <v>188928</v>
      </c>
      <c r="M142" s="23"/>
      <c r="N142" s="23"/>
      <c r="O142" s="23"/>
      <c r="P142" s="23"/>
      <c r="Q142" s="23"/>
      <c r="R142" s="23"/>
      <c r="S142" s="23"/>
      <c r="T142" s="23"/>
      <c r="U142" s="23"/>
      <c r="V142" s="23"/>
      <c r="W142" s="23"/>
    </row>
    <row r="143" ht="18.75" customHeight="1" spans="1:23">
      <c r="A143" s="25"/>
      <c r="B143" s="20" t="s">
        <v>399</v>
      </c>
      <c r="C143" s="20" t="s">
        <v>400</v>
      </c>
      <c r="D143" s="20" t="s">
        <v>158</v>
      </c>
      <c r="E143" s="20" t="s">
        <v>153</v>
      </c>
      <c r="F143" s="20" t="s">
        <v>375</v>
      </c>
      <c r="G143" s="20" t="s">
        <v>376</v>
      </c>
      <c r="H143" s="23">
        <v>6051.24</v>
      </c>
      <c r="I143" s="23">
        <v>6051.24</v>
      </c>
      <c r="J143" s="23"/>
      <c r="K143" s="23"/>
      <c r="L143" s="23">
        <v>6051.24</v>
      </c>
      <c r="M143" s="23"/>
      <c r="N143" s="23"/>
      <c r="O143" s="23"/>
      <c r="P143" s="23"/>
      <c r="Q143" s="23"/>
      <c r="R143" s="23"/>
      <c r="S143" s="23"/>
      <c r="T143" s="23"/>
      <c r="U143" s="23"/>
      <c r="V143" s="23"/>
      <c r="W143" s="23"/>
    </row>
    <row r="144" ht="18.75" customHeight="1" spans="1:23">
      <c r="A144" s="25"/>
      <c r="B144" s="20" t="s">
        <v>401</v>
      </c>
      <c r="C144" s="20" t="s">
        <v>402</v>
      </c>
      <c r="D144" s="20" t="s">
        <v>210</v>
      </c>
      <c r="E144" s="20" t="s">
        <v>211</v>
      </c>
      <c r="F144" s="20" t="s">
        <v>375</v>
      </c>
      <c r="G144" s="20" t="s">
        <v>376</v>
      </c>
      <c r="H144" s="23">
        <v>112910.88</v>
      </c>
      <c r="I144" s="23">
        <v>112910.88</v>
      </c>
      <c r="J144" s="23"/>
      <c r="K144" s="23"/>
      <c r="L144" s="23">
        <v>112910.88</v>
      </c>
      <c r="M144" s="23"/>
      <c r="N144" s="23"/>
      <c r="O144" s="23"/>
      <c r="P144" s="23"/>
      <c r="Q144" s="23"/>
      <c r="R144" s="23"/>
      <c r="S144" s="23"/>
      <c r="T144" s="23"/>
      <c r="U144" s="23"/>
      <c r="V144" s="23"/>
      <c r="W144" s="23"/>
    </row>
    <row r="145" ht="18.75" customHeight="1" spans="1:23">
      <c r="A145" s="25"/>
      <c r="B145" s="20" t="s">
        <v>316</v>
      </c>
      <c r="C145" s="20" t="s">
        <v>317</v>
      </c>
      <c r="D145" s="20" t="s">
        <v>226</v>
      </c>
      <c r="E145" s="20" t="s">
        <v>227</v>
      </c>
      <c r="F145" s="20" t="s">
        <v>403</v>
      </c>
      <c r="G145" s="20" t="s">
        <v>404</v>
      </c>
      <c r="H145" s="23"/>
      <c r="I145" s="23"/>
      <c r="J145" s="23"/>
      <c r="K145" s="23"/>
      <c r="L145" s="23"/>
      <c r="M145" s="23"/>
      <c r="N145" s="23"/>
      <c r="O145" s="23"/>
      <c r="P145" s="23"/>
      <c r="Q145" s="23"/>
      <c r="R145" s="23"/>
      <c r="S145" s="23"/>
      <c r="T145" s="23"/>
      <c r="U145" s="23"/>
      <c r="V145" s="23"/>
      <c r="W145" s="23"/>
    </row>
    <row r="146" ht="18.75" customHeight="1" spans="1:23">
      <c r="A146" s="25"/>
      <c r="B146" s="20" t="s">
        <v>405</v>
      </c>
      <c r="C146" s="20" t="s">
        <v>406</v>
      </c>
      <c r="D146" s="20" t="s">
        <v>245</v>
      </c>
      <c r="E146" s="20" t="s">
        <v>182</v>
      </c>
      <c r="F146" s="20" t="s">
        <v>298</v>
      </c>
      <c r="G146" s="20" t="s">
        <v>299</v>
      </c>
      <c r="H146" s="23">
        <v>31765</v>
      </c>
      <c r="I146" s="23">
        <v>31765</v>
      </c>
      <c r="J146" s="23"/>
      <c r="K146" s="23"/>
      <c r="L146" s="23">
        <v>31765</v>
      </c>
      <c r="M146" s="23"/>
      <c r="N146" s="23"/>
      <c r="O146" s="23"/>
      <c r="P146" s="23"/>
      <c r="Q146" s="23"/>
      <c r="R146" s="23"/>
      <c r="S146" s="23"/>
      <c r="T146" s="23"/>
      <c r="U146" s="23"/>
      <c r="V146" s="23"/>
      <c r="W146" s="23"/>
    </row>
    <row r="147" ht="18.75" customHeight="1" spans="1:23">
      <c r="A147" s="22" t="s">
        <v>55</v>
      </c>
      <c r="B147" s="22"/>
      <c r="C147" s="22"/>
      <c r="D147" s="22"/>
      <c r="E147" s="22"/>
      <c r="F147" s="22"/>
      <c r="G147" s="22"/>
      <c r="H147" s="23">
        <v>12143081.84</v>
      </c>
      <c r="I147" s="23">
        <v>12143081.84</v>
      </c>
      <c r="J147" s="23"/>
      <c r="K147" s="23"/>
      <c r="L147" s="23">
        <v>12143081.84</v>
      </c>
      <c r="M147" s="23"/>
      <c r="N147" s="23"/>
      <c r="O147" s="23"/>
      <c r="P147" s="23"/>
      <c r="Q147" s="23"/>
      <c r="R147" s="23"/>
      <c r="S147" s="23"/>
      <c r="T147" s="23"/>
      <c r="U147" s="23"/>
      <c r="V147" s="23"/>
      <c r="W147" s="23"/>
    </row>
  </sheetData>
  <mergeCells count="30">
    <mergeCell ref="A2:W2"/>
    <mergeCell ref="A3:G3"/>
    <mergeCell ref="H4:W4"/>
    <mergeCell ref="I5:M5"/>
    <mergeCell ref="N5:P5"/>
    <mergeCell ref="R5:W5"/>
    <mergeCell ref="A147:G147"/>
    <mergeCell ref="A4:A7"/>
    <mergeCell ref="B4:B7"/>
    <mergeCell ref="C4:C7"/>
    <mergeCell ref="D4:D7"/>
    <mergeCell ref="E4:E7"/>
    <mergeCell ref="F4:F7"/>
    <mergeCell ref="G4:G7"/>
    <mergeCell ref="H5:H7"/>
    <mergeCell ref="I6:I7"/>
    <mergeCell ref="J6:J7"/>
    <mergeCell ref="K6:K7"/>
    <mergeCell ref="L6:L7"/>
    <mergeCell ref="M6:M7"/>
    <mergeCell ref="N6:N7"/>
    <mergeCell ref="O6:O7"/>
    <mergeCell ref="P6:P7"/>
    <mergeCell ref="Q5:Q7"/>
    <mergeCell ref="R6:R7"/>
    <mergeCell ref="S6:S7"/>
    <mergeCell ref="T6:T7"/>
    <mergeCell ref="U6:U7"/>
    <mergeCell ref="V6:V7"/>
    <mergeCell ref="W6:W7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W37"/>
  <sheetViews>
    <sheetView showZeros="0" topLeftCell="K1" workbookViewId="0">
      <selection activeCell="A1" sqref="A1"/>
    </sheetView>
  </sheetViews>
  <sheetFormatPr defaultColWidth="9.14285714285714" defaultRowHeight="14.25" customHeight="1"/>
  <cols>
    <col min="1" max="1" width="12.4190476190476" customWidth="1"/>
    <col min="2" max="2" width="33.7333333333333" customWidth="1"/>
    <col min="3" max="3" width="32.847619047619" customWidth="1"/>
    <col min="4" max="4" width="23.847619047619" customWidth="1"/>
    <col min="5" max="5" width="11.1428571428571" customWidth="1"/>
    <col min="6" max="6" width="17.7142857142857" customWidth="1"/>
    <col min="7" max="7" width="9.84761904761905" customWidth="1"/>
    <col min="8" max="8" width="17.7142857142857" customWidth="1"/>
    <col min="9" max="21" width="19.1428571428571" customWidth="1"/>
    <col min="22" max="23" width="19.2857142857143" customWidth="1"/>
  </cols>
  <sheetData>
    <row r="1" ht="13.5" customHeight="1" spans="2:23">
      <c r="B1" s="125"/>
      <c r="E1" s="1"/>
      <c r="F1" s="1"/>
      <c r="G1" s="1"/>
      <c r="H1" s="1"/>
      <c r="I1" s="2"/>
      <c r="J1" s="2"/>
      <c r="K1" s="2"/>
      <c r="L1" s="2"/>
      <c r="M1" s="2"/>
      <c r="N1" s="2"/>
      <c r="O1" s="2"/>
      <c r="P1" s="2"/>
      <c r="Q1" s="2"/>
      <c r="U1" s="125"/>
      <c r="W1" s="34" t="s">
        <v>407</v>
      </c>
    </row>
    <row r="2" ht="41.25" customHeight="1" spans="1:23">
      <c r="A2" s="4" t="str">
        <f>"2025"&amp;"年部门项目支出预算表"</f>
        <v>2025年部门项目支出预算表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</row>
    <row r="3" ht="18.75" customHeight="1" spans="1:23">
      <c r="A3" s="6" t="str">
        <f>"单位名称："&amp;"耿马傣族佤族自治县四排山乡"</f>
        <v>单位名称：耿马傣族佤族自治县四排山乡</v>
      </c>
      <c r="B3" s="7"/>
      <c r="C3" s="7"/>
      <c r="D3" s="7"/>
      <c r="E3" s="7"/>
      <c r="F3" s="7"/>
      <c r="G3" s="7"/>
      <c r="H3" s="7"/>
      <c r="I3" s="8"/>
      <c r="J3" s="8"/>
      <c r="K3" s="8"/>
      <c r="L3" s="8"/>
      <c r="M3" s="8"/>
      <c r="N3" s="8"/>
      <c r="O3" s="8"/>
      <c r="P3" s="8"/>
      <c r="Q3" s="8"/>
      <c r="U3" s="125"/>
      <c r="W3" s="34" t="s">
        <v>263</v>
      </c>
    </row>
    <row r="4" ht="18.75" customHeight="1" spans="1:23">
      <c r="A4" s="9" t="s">
        <v>408</v>
      </c>
      <c r="B4" s="10" t="s">
        <v>275</v>
      </c>
      <c r="C4" s="9" t="s">
        <v>276</v>
      </c>
      <c r="D4" s="9" t="s">
        <v>409</v>
      </c>
      <c r="E4" s="10" t="s">
        <v>277</v>
      </c>
      <c r="F4" s="10" t="s">
        <v>278</v>
      </c>
      <c r="G4" s="10" t="s">
        <v>410</v>
      </c>
      <c r="H4" s="10" t="s">
        <v>411</v>
      </c>
      <c r="I4" s="27" t="s">
        <v>55</v>
      </c>
      <c r="J4" s="11" t="s">
        <v>412</v>
      </c>
      <c r="K4" s="12"/>
      <c r="L4" s="12"/>
      <c r="M4" s="13"/>
      <c r="N4" s="11" t="s">
        <v>283</v>
      </c>
      <c r="O4" s="12"/>
      <c r="P4" s="13"/>
      <c r="Q4" s="10" t="s">
        <v>61</v>
      </c>
      <c r="R4" s="11" t="s">
        <v>77</v>
      </c>
      <c r="S4" s="12"/>
      <c r="T4" s="12"/>
      <c r="U4" s="12"/>
      <c r="V4" s="12"/>
      <c r="W4" s="13"/>
    </row>
    <row r="5" ht="18.75" customHeight="1" spans="1:23">
      <c r="A5" s="14"/>
      <c r="B5" s="28"/>
      <c r="C5" s="14"/>
      <c r="D5" s="14"/>
      <c r="E5" s="15"/>
      <c r="F5" s="15"/>
      <c r="G5" s="15"/>
      <c r="H5" s="15"/>
      <c r="I5" s="28"/>
      <c r="J5" s="128" t="s">
        <v>58</v>
      </c>
      <c r="K5" s="129"/>
      <c r="L5" s="10" t="s">
        <v>59</v>
      </c>
      <c r="M5" s="10" t="s">
        <v>60</v>
      </c>
      <c r="N5" s="10" t="s">
        <v>58</v>
      </c>
      <c r="O5" s="10" t="s">
        <v>59</v>
      </c>
      <c r="P5" s="10" t="s">
        <v>60</v>
      </c>
      <c r="Q5" s="15"/>
      <c r="R5" s="10" t="s">
        <v>57</v>
      </c>
      <c r="S5" s="9" t="s">
        <v>64</v>
      </c>
      <c r="T5" s="9" t="s">
        <v>289</v>
      </c>
      <c r="U5" s="9" t="s">
        <v>66</v>
      </c>
      <c r="V5" s="9" t="s">
        <v>67</v>
      </c>
      <c r="W5" s="9" t="s">
        <v>68</v>
      </c>
    </row>
    <row r="6" ht="18.75" customHeight="1" spans="1:23">
      <c r="A6" s="28"/>
      <c r="B6" s="28"/>
      <c r="C6" s="28"/>
      <c r="D6" s="28"/>
      <c r="E6" s="28"/>
      <c r="F6" s="28"/>
      <c r="G6" s="28"/>
      <c r="H6" s="28"/>
      <c r="I6" s="28"/>
      <c r="J6" s="130" t="s">
        <v>57</v>
      </c>
      <c r="K6" s="93"/>
      <c r="L6" s="28"/>
      <c r="M6" s="28"/>
      <c r="N6" s="28"/>
      <c r="O6" s="28"/>
      <c r="P6" s="28"/>
      <c r="Q6" s="28"/>
      <c r="R6" s="28"/>
      <c r="S6" s="131"/>
      <c r="T6" s="131"/>
      <c r="U6" s="131"/>
      <c r="V6" s="131"/>
      <c r="W6" s="131"/>
    </row>
    <row r="7" ht="18.75" customHeight="1" spans="1:23">
      <c r="A7" s="16"/>
      <c r="B7" s="29"/>
      <c r="C7" s="16"/>
      <c r="D7" s="16"/>
      <c r="E7" s="17"/>
      <c r="F7" s="17"/>
      <c r="G7" s="17"/>
      <c r="H7" s="17"/>
      <c r="I7" s="29"/>
      <c r="J7" s="42" t="s">
        <v>57</v>
      </c>
      <c r="K7" s="42" t="s">
        <v>413</v>
      </c>
      <c r="L7" s="17"/>
      <c r="M7" s="17"/>
      <c r="N7" s="17"/>
      <c r="O7" s="17"/>
      <c r="P7" s="17"/>
      <c r="Q7" s="17"/>
      <c r="R7" s="17"/>
      <c r="S7" s="17"/>
      <c r="T7" s="17"/>
      <c r="U7" s="29"/>
      <c r="V7" s="17"/>
      <c r="W7" s="17"/>
    </row>
    <row r="8" ht="18.75" customHeight="1" spans="1:23">
      <c r="A8" s="126">
        <v>1</v>
      </c>
      <c r="B8" s="126">
        <v>2</v>
      </c>
      <c r="C8" s="126">
        <v>3</v>
      </c>
      <c r="D8" s="126">
        <v>4</v>
      </c>
      <c r="E8" s="126">
        <v>5</v>
      </c>
      <c r="F8" s="126">
        <v>6</v>
      </c>
      <c r="G8" s="126">
        <v>7</v>
      </c>
      <c r="H8" s="126">
        <v>8</v>
      </c>
      <c r="I8" s="126">
        <v>9</v>
      </c>
      <c r="J8" s="126">
        <v>10</v>
      </c>
      <c r="K8" s="126">
        <v>11</v>
      </c>
      <c r="L8" s="126">
        <v>12</v>
      </c>
      <c r="M8" s="126">
        <v>13</v>
      </c>
      <c r="N8" s="126">
        <v>14</v>
      </c>
      <c r="O8" s="126">
        <v>15</v>
      </c>
      <c r="P8" s="126">
        <v>16</v>
      </c>
      <c r="Q8" s="126">
        <v>17</v>
      </c>
      <c r="R8" s="126">
        <v>18</v>
      </c>
      <c r="S8" s="126">
        <v>19</v>
      </c>
      <c r="T8" s="126">
        <v>20</v>
      </c>
      <c r="U8" s="126">
        <v>21</v>
      </c>
      <c r="V8" s="126">
        <v>22</v>
      </c>
      <c r="W8" s="126">
        <v>23</v>
      </c>
    </row>
    <row r="9" ht="18.75" customHeight="1" spans="1:23">
      <c r="A9" s="20"/>
      <c r="B9" s="20"/>
      <c r="C9" s="20" t="s">
        <v>414</v>
      </c>
      <c r="D9" s="20"/>
      <c r="E9" s="20"/>
      <c r="F9" s="20"/>
      <c r="G9" s="20"/>
      <c r="H9" s="20"/>
      <c r="I9" s="23">
        <v>24000</v>
      </c>
      <c r="J9" s="23">
        <v>24000</v>
      </c>
      <c r="K9" s="23">
        <v>24000</v>
      </c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</row>
    <row r="10" ht="18.75" customHeight="1" spans="1:23">
      <c r="A10" s="30" t="s">
        <v>415</v>
      </c>
      <c r="B10" s="30" t="s">
        <v>416</v>
      </c>
      <c r="C10" s="30" t="s">
        <v>414</v>
      </c>
      <c r="D10" s="30" t="s">
        <v>70</v>
      </c>
      <c r="E10" s="30" t="s">
        <v>160</v>
      </c>
      <c r="F10" s="30" t="s">
        <v>161</v>
      </c>
      <c r="G10" s="30" t="s">
        <v>375</v>
      </c>
      <c r="H10" s="30" t="s">
        <v>376</v>
      </c>
      <c r="I10" s="23">
        <v>24000</v>
      </c>
      <c r="J10" s="23">
        <v>24000</v>
      </c>
      <c r="K10" s="23">
        <v>24000</v>
      </c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</row>
    <row r="11" ht="18.75" customHeight="1" spans="1:23">
      <c r="A11" s="25"/>
      <c r="B11" s="25"/>
      <c r="C11" s="20" t="s">
        <v>417</v>
      </c>
      <c r="D11" s="25"/>
      <c r="E11" s="25"/>
      <c r="F11" s="25"/>
      <c r="G11" s="25"/>
      <c r="H11" s="25"/>
      <c r="I11" s="23">
        <v>3000</v>
      </c>
      <c r="J11" s="23">
        <v>3000</v>
      </c>
      <c r="K11" s="23">
        <v>3000</v>
      </c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</row>
    <row r="12" ht="18.75" customHeight="1" spans="1:23">
      <c r="A12" s="30" t="s">
        <v>418</v>
      </c>
      <c r="B12" s="30" t="s">
        <v>419</v>
      </c>
      <c r="C12" s="30" t="s">
        <v>417</v>
      </c>
      <c r="D12" s="30" t="s">
        <v>70</v>
      </c>
      <c r="E12" s="30" t="s">
        <v>164</v>
      </c>
      <c r="F12" s="30" t="s">
        <v>165</v>
      </c>
      <c r="G12" s="30" t="s">
        <v>336</v>
      </c>
      <c r="H12" s="30" t="s">
        <v>337</v>
      </c>
      <c r="I12" s="23">
        <v>3000</v>
      </c>
      <c r="J12" s="23">
        <v>3000</v>
      </c>
      <c r="K12" s="23">
        <v>3000</v>
      </c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</row>
    <row r="13" ht="18.75" customHeight="1" spans="1:23">
      <c r="A13" s="25"/>
      <c r="B13" s="25"/>
      <c r="C13" s="20" t="s">
        <v>420</v>
      </c>
      <c r="D13" s="25"/>
      <c r="E13" s="25"/>
      <c r="F13" s="25"/>
      <c r="G13" s="25"/>
      <c r="H13" s="25"/>
      <c r="I13" s="23">
        <v>10000</v>
      </c>
      <c r="J13" s="23">
        <v>10000</v>
      </c>
      <c r="K13" s="23">
        <v>10000</v>
      </c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</row>
    <row r="14" ht="18.75" customHeight="1" spans="1:23">
      <c r="A14" s="30" t="s">
        <v>415</v>
      </c>
      <c r="B14" s="30" t="s">
        <v>421</v>
      </c>
      <c r="C14" s="30" t="s">
        <v>420</v>
      </c>
      <c r="D14" s="30" t="s">
        <v>70</v>
      </c>
      <c r="E14" s="30" t="s">
        <v>168</v>
      </c>
      <c r="F14" s="30" t="s">
        <v>169</v>
      </c>
      <c r="G14" s="30" t="s">
        <v>336</v>
      </c>
      <c r="H14" s="30" t="s">
        <v>337</v>
      </c>
      <c r="I14" s="23">
        <v>10000</v>
      </c>
      <c r="J14" s="23">
        <v>10000</v>
      </c>
      <c r="K14" s="23">
        <v>10000</v>
      </c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</row>
    <row r="15" ht="18.75" customHeight="1" spans="1:23">
      <c r="A15" s="25"/>
      <c r="B15" s="25"/>
      <c r="C15" s="20" t="s">
        <v>422</v>
      </c>
      <c r="D15" s="25"/>
      <c r="E15" s="25"/>
      <c r="F15" s="25"/>
      <c r="G15" s="25"/>
      <c r="H15" s="25"/>
      <c r="I15" s="23">
        <v>10000</v>
      </c>
      <c r="J15" s="23">
        <v>10000</v>
      </c>
      <c r="K15" s="23">
        <v>10000</v>
      </c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</row>
    <row r="16" ht="18.75" customHeight="1" spans="1:23">
      <c r="A16" s="30" t="s">
        <v>418</v>
      </c>
      <c r="B16" s="30" t="s">
        <v>423</v>
      </c>
      <c r="C16" s="30" t="s">
        <v>422</v>
      </c>
      <c r="D16" s="30" t="s">
        <v>70</v>
      </c>
      <c r="E16" s="30" t="s">
        <v>159</v>
      </c>
      <c r="F16" s="30" t="s">
        <v>155</v>
      </c>
      <c r="G16" s="30" t="s">
        <v>375</v>
      </c>
      <c r="H16" s="30" t="s">
        <v>376</v>
      </c>
      <c r="I16" s="23">
        <v>10000</v>
      </c>
      <c r="J16" s="23">
        <v>10000</v>
      </c>
      <c r="K16" s="23">
        <v>10000</v>
      </c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</row>
    <row r="17" ht="18.75" customHeight="1" spans="1:23">
      <c r="A17" s="25"/>
      <c r="B17" s="25"/>
      <c r="C17" s="20" t="s">
        <v>424</v>
      </c>
      <c r="D17" s="25"/>
      <c r="E17" s="25"/>
      <c r="F17" s="25"/>
      <c r="G17" s="25"/>
      <c r="H17" s="25"/>
      <c r="I17" s="23">
        <v>50000</v>
      </c>
      <c r="J17" s="23">
        <v>50000</v>
      </c>
      <c r="K17" s="23">
        <v>50000</v>
      </c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</row>
    <row r="18" ht="18.75" customHeight="1" spans="1:23">
      <c r="A18" s="30" t="s">
        <v>415</v>
      </c>
      <c r="B18" s="30" t="s">
        <v>425</v>
      </c>
      <c r="C18" s="30" t="s">
        <v>424</v>
      </c>
      <c r="D18" s="30" t="s">
        <v>70</v>
      </c>
      <c r="E18" s="30" t="s">
        <v>246</v>
      </c>
      <c r="F18" s="30" t="s">
        <v>247</v>
      </c>
      <c r="G18" s="30" t="s">
        <v>336</v>
      </c>
      <c r="H18" s="30" t="s">
        <v>337</v>
      </c>
      <c r="I18" s="23">
        <v>50000</v>
      </c>
      <c r="J18" s="23">
        <v>50000</v>
      </c>
      <c r="K18" s="23">
        <v>50000</v>
      </c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</row>
    <row r="19" ht="18.75" customHeight="1" spans="1:23">
      <c r="A19" s="25"/>
      <c r="B19" s="25"/>
      <c r="C19" s="20" t="s">
        <v>426</v>
      </c>
      <c r="D19" s="25"/>
      <c r="E19" s="25"/>
      <c r="F19" s="25"/>
      <c r="G19" s="25"/>
      <c r="H19" s="25"/>
      <c r="I19" s="23">
        <v>30000</v>
      </c>
      <c r="J19" s="23">
        <v>30000</v>
      </c>
      <c r="K19" s="23">
        <v>30000</v>
      </c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</row>
    <row r="20" ht="18.75" customHeight="1" spans="1:23">
      <c r="A20" s="30" t="s">
        <v>415</v>
      </c>
      <c r="B20" s="30" t="s">
        <v>427</v>
      </c>
      <c r="C20" s="30" t="s">
        <v>426</v>
      </c>
      <c r="D20" s="30" t="s">
        <v>70</v>
      </c>
      <c r="E20" s="30" t="s">
        <v>159</v>
      </c>
      <c r="F20" s="30" t="s">
        <v>155</v>
      </c>
      <c r="G20" s="30" t="s">
        <v>336</v>
      </c>
      <c r="H20" s="30" t="s">
        <v>337</v>
      </c>
      <c r="I20" s="23">
        <v>30000</v>
      </c>
      <c r="J20" s="23">
        <v>30000</v>
      </c>
      <c r="K20" s="23">
        <v>30000</v>
      </c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</row>
    <row r="21" ht="18.75" customHeight="1" spans="1:23">
      <c r="A21" s="25"/>
      <c r="B21" s="25"/>
      <c r="C21" s="20" t="s">
        <v>428</v>
      </c>
      <c r="D21" s="25"/>
      <c r="E21" s="25"/>
      <c r="F21" s="25"/>
      <c r="G21" s="25"/>
      <c r="H21" s="25"/>
      <c r="I21" s="23">
        <v>20000</v>
      </c>
      <c r="J21" s="23">
        <v>20000</v>
      </c>
      <c r="K21" s="23">
        <v>20000</v>
      </c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</row>
    <row r="22" ht="18.75" customHeight="1" spans="1:23">
      <c r="A22" s="30" t="s">
        <v>415</v>
      </c>
      <c r="B22" s="30" t="s">
        <v>429</v>
      </c>
      <c r="C22" s="30" t="s">
        <v>428</v>
      </c>
      <c r="D22" s="30" t="s">
        <v>70</v>
      </c>
      <c r="E22" s="30" t="s">
        <v>248</v>
      </c>
      <c r="F22" s="30" t="s">
        <v>249</v>
      </c>
      <c r="G22" s="30" t="s">
        <v>430</v>
      </c>
      <c r="H22" s="30" t="s">
        <v>431</v>
      </c>
      <c r="I22" s="23">
        <v>20000</v>
      </c>
      <c r="J22" s="23">
        <v>20000</v>
      </c>
      <c r="K22" s="23">
        <v>20000</v>
      </c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</row>
    <row r="23" ht="18.75" customHeight="1" spans="1:23">
      <c r="A23" s="25"/>
      <c r="B23" s="25"/>
      <c r="C23" s="20" t="s">
        <v>432</v>
      </c>
      <c r="D23" s="25"/>
      <c r="E23" s="25"/>
      <c r="F23" s="25"/>
      <c r="G23" s="25"/>
      <c r="H23" s="25"/>
      <c r="I23" s="23">
        <v>157000</v>
      </c>
      <c r="J23" s="23">
        <v>157000</v>
      </c>
      <c r="K23" s="23">
        <v>157000</v>
      </c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</row>
    <row r="24" ht="18.75" customHeight="1" spans="1:23">
      <c r="A24" s="30" t="s">
        <v>415</v>
      </c>
      <c r="B24" s="30" t="s">
        <v>433</v>
      </c>
      <c r="C24" s="30" t="s">
        <v>432</v>
      </c>
      <c r="D24" s="30" t="s">
        <v>70</v>
      </c>
      <c r="E24" s="30" t="s">
        <v>248</v>
      </c>
      <c r="F24" s="30" t="s">
        <v>249</v>
      </c>
      <c r="G24" s="30" t="s">
        <v>336</v>
      </c>
      <c r="H24" s="30" t="s">
        <v>337</v>
      </c>
      <c r="I24" s="23">
        <v>157000</v>
      </c>
      <c r="J24" s="23">
        <v>157000</v>
      </c>
      <c r="K24" s="23">
        <v>157000</v>
      </c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</row>
    <row r="25" ht="18.75" customHeight="1" spans="1:23">
      <c r="A25" s="25"/>
      <c r="B25" s="25"/>
      <c r="C25" s="20" t="s">
        <v>434</v>
      </c>
      <c r="D25" s="25"/>
      <c r="E25" s="25"/>
      <c r="F25" s="25"/>
      <c r="G25" s="25"/>
      <c r="H25" s="25"/>
      <c r="I25" s="23">
        <v>15000</v>
      </c>
      <c r="J25" s="23">
        <v>15000</v>
      </c>
      <c r="K25" s="23">
        <v>15000</v>
      </c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</row>
    <row r="26" ht="18.75" customHeight="1" spans="1:23">
      <c r="A26" s="30" t="s">
        <v>415</v>
      </c>
      <c r="B26" s="30" t="s">
        <v>435</v>
      </c>
      <c r="C26" s="30" t="s">
        <v>434</v>
      </c>
      <c r="D26" s="30" t="s">
        <v>70</v>
      </c>
      <c r="E26" s="30" t="s">
        <v>248</v>
      </c>
      <c r="F26" s="30" t="s">
        <v>249</v>
      </c>
      <c r="G26" s="30" t="s">
        <v>430</v>
      </c>
      <c r="H26" s="30" t="s">
        <v>431</v>
      </c>
      <c r="I26" s="23">
        <v>15000</v>
      </c>
      <c r="J26" s="23">
        <v>15000</v>
      </c>
      <c r="K26" s="23">
        <v>15000</v>
      </c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</row>
    <row r="27" ht="18.75" customHeight="1" spans="1:23">
      <c r="A27" s="25"/>
      <c r="B27" s="25"/>
      <c r="C27" s="20" t="s">
        <v>436</v>
      </c>
      <c r="D27" s="25"/>
      <c r="E27" s="25"/>
      <c r="F27" s="25"/>
      <c r="G27" s="25"/>
      <c r="H27" s="25"/>
      <c r="I27" s="23">
        <v>15000</v>
      </c>
      <c r="J27" s="23">
        <v>15000</v>
      </c>
      <c r="K27" s="23">
        <v>15000</v>
      </c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</row>
    <row r="28" ht="18.75" customHeight="1" spans="1:23">
      <c r="A28" s="30" t="s">
        <v>415</v>
      </c>
      <c r="B28" s="30" t="s">
        <v>437</v>
      </c>
      <c r="C28" s="30" t="s">
        <v>436</v>
      </c>
      <c r="D28" s="30" t="s">
        <v>70</v>
      </c>
      <c r="E28" s="30" t="s">
        <v>234</v>
      </c>
      <c r="F28" s="30" t="s">
        <v>235</v>
      </c>
      <c r="G28" s="30" t="s">
        <v>430</v>
      </c>
      <c r="H28" s="30" t="s">
        <v>431</v>
      </c>
      <c r="I28" s="23">
        <v>15000</v>
      </c>
      <c r="J28" s="23">
        <v>15000</v>
      </c>
      <c r="K28" s="23">
        <v>15000</v>
      </c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</row>
    <row r="29" ht="18.75" customHeight="1" spans="1:23">
      <c r="A29" s="25"/>
      <c r="B29" s="25"/>
      <c r="C29" s="20" t="s">
        <v>438</v>
      </c>
      <c r="D29" s="25"/>
      <c r="E29" s="25"/>
      <c r="F29" s="25"/>
      <c r="G29" s="25"/>
      <c r="H29" s="25"/>
      <c r="I29" s="23">
        <v>70000</v>
      </c>
      <c r="J29" s="23">
        <v>70000</v>
      </c>
      <c r="K29" s="23">
        <v>70000</v>
      </c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</row>
    <row r="30" ht="18.75" customHeight="1" spans="1:23">
      <c r="A30" s="30" t="s">
        <v>415</v>
      </c>
      <c r="B30" s="30" t="s">
        <v>439</v>
      </c>
      <c r="C30" s="30" t="s">
        <v>438</v>
      </c>
      <c r="D30" s="30" t="s">
        <v>70</v>
      </c>
      <c r="E30" s="30" t="s">
        <v>252</v>
      </c>
      <c r="F30" s="30" t="s">
        <v>253</v>
      </c>
      <c r="G30" s="30" t="s">
        <v>336</v>
      </c>
      <c r="H30" s="30" t="s">
        <v>337</v>
      </c>
      <c r="I30" s="23">
        <v>70000</v>
      </c>
      <c r="J30" s="23">
        <v>70000</v>
      </c>
      <c r="K30" s="23">
        <v>70000</v>
      </c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</row>
    <row r="31" ht="18.75" customHeight="1" spans="1:23">
      <c r="A31" s="25"/>
      <c r="B31" s="25"/>
      <c r="C31" s="20" t="s">
        <v>440</v>
      </c>
      <c r="D31" s="25"/>
      <c r="E31" s="25"/>
      <c r="F31" s="25"/>
      <c r="G31" s="25"/>
      <c r="H31" s="25"/>
      <c r="I31" s="23">
        <v>50000</v>
      </c>
      <c r="J31" s="23">
        <v>50000</v>
      </c>
      <c r="K31" s="23">
        <v>50000</v>
      </c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</row>
    <row r="32" ht="18.75" customHeight="1" spans="1:23">
      <c r="A32" s="30" t="s">
        <v>415</v>
      </c>
      <c r="B32" s="30" t="s">
        <v>441</v>
      </c>
      <c r="C32" s="30" t="s">
        <v>440</v>
      </c>
      <c r="D32" s="30" t="s">
        <v>70</v>
      </c>
      <c r="E32" s="30" t="s">
        <v>160</v>
      </c>
      <c r="F32" s="30" t="s">
        <v>161</v>
      </c>
      <c r="G32" s="30" t="s">
        <v>336</v>
      </c>
      <c r="H32" s="30" t="s">
        <v>337</v>
      </c>
      <c r="I32" s="23">
        <v>50000</v>
      </c>
      <c r="J32" s="23">
        <v>50000</v>
      </c>
      <c r="K32" s="23">
        <v>50000</v>
      </c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</row>
    <row r="33" ht="18.75" customHeight="1" spans="1:23">
      <c r="A33" s="25"/>
      <c r="B33" s="25"/>
      <c r="C33" s="20" t="s">
        <v>442</v>
      </c>
      <c r="D33" s="25"/>
      <c r="E33" s="25"/>
      <c r="F33" s="25"/>
      <c r="G33" s="25"/>
      <c r="H33" s="25"/>
      <c r="I33" s="23">
        <v>150000</v>
      </c>
      <c r="J33" s="23">
        <v>150000</v>
      </c>
      <c r="K33" s="23">
        <v>150000</v>
      </c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</row>
    <row r="34" ht="18.75" customHeight="1" spans="1:23">
      <c r="A34" s="30" t="s">
        <v>415</v>
      </c>
      <c r="B34" s="30" t="s">
        <v>443</v>
      </c>
      <c r="C34" s="30" t="s">
        <v>442</v>
      </c>
      <c r="D34" s="30" t="s">
        <v>70</v>
      </c>
      <c r="E34" s="30" t="s">
        <v>234</v>
      </c>
      <c r="F34" s="30" t="s">
        <v>235</v>
      </c>
      <c r="G34" s="30" t="s">
        <v>430</v>
      </c>
      <c r="H34" s="30" t="s">
        <v>431</v>
      </c>
      <c r="I34" s="23">
        <v>150000</v>
      </c>
      <c r="J34" s="23">
        <v>150000</v>
      </c>
      <c r="K34" s="23">
        <v>150000</v>
      </c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</row>
    <row r="35" ht="18.75" customHeight="1" spans="1:23">
      <c r="A35" s="25"/>
      <c r="B35" s="25"/>
      <c r="C35" s="20" t="s">
        <v>444</v>
      </c>
      <c r="D35" s="25"/>
      <c r="E35" s="25"/>
      <c r="F35" s="25"/>
      <c r="G35" s="25"/>
      <c r="H35" s="25"/>
      <c r="I35" s="23">
        <v>20000</v>
      </c>
      <c r="J35" s="23">
        <v>20000</v>
      </c>
      <c r="K35" s="23">
        <v>20000</v>
      </c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</row>
    <row r="36" ht="18.75" customHeight="1" spans="1:23">
      <c r="A36" s="30" t="s">
        <v>415</v>
      </c>
      <c r="B36" s="30" t="s">
        <v>445</v>
      </c>
      <c r="C36" s="30" t="s">
        <v>444</v>
      </c>
      <c r="D36" s="30" t="s">
        <v>70</v>
      </c>
      <c r="E36" s="30" t="s">
        <v>154</v>
      </c>
      <c r="F36" s="30" t="s">
        <v>155</v>
      </c>
      <c r="G36" s="30" t="s">
        <v>336</v>
      </c>
      <c r="H36" s="30" t="s">
        <v>337</v>
      </c>
      <c r="I36" s="23">
        <v>20000</v>
      </c>
      <c r="J36" s="23">
        <v>20000</v>
      </c>
      <c r="K36" s="23">
        <v>20000</v>
      </c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</row>
    <row r="37" ht="18.75" customHeight="1" spans="1:23">
      <c r="A37" s="127" t="s">
        <v>55</v>
      </c>
      <c r="B37" s="127"/>
      <c r="C37" s="127"/>
      <c r="D37" s="127"/>
      <c r="E37" s="127"/>
      <c r="F37" s="127"/>
      <c r="G37" s="127"/>
      <c r="H37" s="127"/>
      <c r="I37" s="23">
        <v>624000</v>
      </c>
      <c r="J37" s="23">
        <v>624000</v>
      </c>
      <c r="K37" s="23">
        <v>624000</v>
      </c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</row>
  </sheetData>
  <mergeCells count="28">
    <mergeCell ref="A2:W2"/>
    <mergeCell ref="A3:H3"/>
    <mergeCell ref="J4:M4"/>
    <mergeCell ref="N4:P4"/>
    <mergeCell ref="R4:W4"/>
    <mergeCell ref="A37:H37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J81"/>
  <sheetViews>
    <sheetView showZeros="0" tabSelected="1" workbookViewId="0">
      <selection activeCell="B38" sqref="B38:B41"/>
    </sheetView>
  </sheetViews>
  <sheetFormatPr defaultColWidth="9.14285714285714" defaultRowHeight="12" customHeight="1"/>
  <cols>
    <col min="1" max="1" width="54.0095238095238" customWidth="1"/>
    <col min="2" max="2" width="48" customWidth="1"/>
    <col min="3" max="5" width="18.2857142857143" customWidth="1"/>
    <col min="6" max="6" width="12" customWidth="1"/>
    <col min="7" max="7" width="17" customWidth="1"/>
    <col min="8" max="9" width="12" customWidth="1"/>
    <col min="10" max="10" width="27.5714285714286" customWidth="1"/>
  </cols>
  <sheetData>
    <row r="1" ht="15" customHeight="1" spans="10:10">
      <c r="J1" s="84" t="s">
        <v>446</v>
      </c>
    </row>
    <row r="2" ht="36.75" customHeight="1" spans="1:10">
      <c r="A2" s="4" t="str">
        <f>"2025"&amp;"年部门项目支出绩效目标表"</f>
        <v>2025年部门项目支出绩效目标表</v>
      </c>
      <c r="B2" s="5"/>
      <c r="C2" s="5"/>
      <c r="D2" s="5"/>
      <c r="E2" s="5"/>
      <c r="F2" s="68"/>
      <c r="G2" s="5"/>
      <c r="H2" s="68"/>
      <c r="I2" s="68"/>
      <c r="J2" s="5"/>
    </row>
    <row r="3" ht="18.75" customHeight="1" spans="1:8">
      <c r="A3" s="50" t="str">
        <f>"单位名称："&amp;"耿马傣族佤族自治县四排山乡"</f>
        <v>单位名称：耿马傣族佤族自治县四排山乡</v>
      </c>
      <c r="B3" s="51"/>
      <c r="C3" s="51"/>
      <c r="D3" s="51"/>
      <c r="E3" s="51"/>
      <c r="F3" s="52"/>
      <c r="G3" s="51"/>
      <c r="H3" s="52"/>
    </row>
    <row r="4" ht="18.75" customHeight="1" spans="1:10">
      <c r="A4" s="42" t="s">
        <v>447</v>
      </c>
      <c r="B4" s="42" t="s">
        <v>448</v>
      </c>
      <c r="C4" s="42" t="s">
        <v>449</v>
      </c>
      <c r="D4" s="42" t="s">
        <v>450</v>
      </c>
      <c r="E4" s="42" t="s">
        <v>451</v>
      </c>
      <c r="F4" s="53" t="s">
        <v>452</v>
      </c>
      <c r="G4" s="42" t="s">
        <v>453</v>
      </c>
      <c r="H4" s="53" t="s">
        <v>454</v>
      </c>
      <c r="I4" s="53" t="s">
        <v>455</v>
      </c>
      <c r="J4" s="42" t="s">
        <v>456</v>
      </c>
    </row>
    <row r="5" ht="18.75" customHeight="1" spans="1:10">
      <c r="A5" s="120">
        <v>1</v>
      </c>
      <c r="B5" s="120">
        <v>2</v>
      </c>
      <c r="C5" s="120">
        <v>3</v>
      </c>
      <c r="D5" s="120">
        <v>4</v>
      </c>
      <c r="E5" s="120">
        <v>5</v>
      </c>
      <c r="F5" s="120">
        <v>6</v>
      </c>
      <c r="G5" s="120">
        <v>7</v>
      </c>
      <c r="H5" s="120">
        <v>8</v>
      </c>
      <c r="I5" s="120">
        <v>9</v>
      </c>
      <c r="J5" s="120">
        <v>10</v>
      </c>
    </row>
    <row r="6" ht="18.75" customHeight="1" spans="1:10">
      <c r="A6" s="121" t="s">
        <v>291</v>
      </c>
      <c r="B6" s="45"/>
      <c r="C6" s="45"/>
      <c r="D6" s="45"/>
      <c r="E6" s="47"/>
      <c r="F6" s="122"/>
      <c r="G6" s="47"/>
      <c r="H6" s="122"/>
      <c r="I6" s="122"/>
      <c r="J6" s="47"/>
    </row>
    <row r="7" ht="18.75" customHeight="1" spans="1:10">
      <c r="A7" s="123" t="s">
        <v>70</v>
      </c>
      <c r="B7" s="124"/>
      <c r="C7" s="124"/>
      <c r="D7" s="124"/>
      <c r="E7" s="121"/>
      <c r="F7" s="124"/>
      <c r="G7" s="121"/>
      <c r="H7" s="124"/>
      <c r="I7" s="124"/>
      <c r="J7" s="121"/>
    </row>
    <row r="8" ht="18.75" customHeight="1" spans="1:10">
      <c r="A8" s="121" t="str">
        <f t="shared" ref="A8:A12" si="0">"    "&amp;"四排山乡东坡村便民服务站建设项目资金"</f>
        <v>    四排山乡东坡村便民服务站建设项目资金</v>
      </c>
      <c r="B8" s="124" t="s">
        <v>457</v>
      </c>
      <c r="C8" s="124" t="s">
        <v>458</v>
      </c>
      <c r="D8" s="124" t="s">
        <v>459</v>
      </c>
      <c r="E8" s="121" t="s">
        <v>460</v>
      </c>
      <c r="F8" s="124" t="s">
        <v>461</v>
      </c>
      <c r="G8" s="121" t="s">
        <v>462</v>
      </c>
      <c r="H8" s="124" t="s">
        <v>463</v>
      </c>
      <c r="I8" s="124" t="s">
        <v>464</v>
      </c>
      <c r="J8" s="121" t="s">
        <v>465</v>
      </c>
    </row>
    <row r="9" ht="18.75" customHeight="1" spans="1:10">
      <c r="A9" s="121" t="str">
        <f t="shared" si="0"/>
        <v>    四排山乡东坡村便民服务站建设项目资金</v>
      </c>
      <c r="B9" s="124" t="s">
        <v>457</v>
      </c>
      <c r="C9" s="124" t="s">
        <v>458</v>
      </c>
      <c r="D9" s="124" t="s">
        <v>466</v>
      </c>
      <c r="E9" s="121" t="s">
        <v>467</v>
      </c>
      <c r="F9" s="124" t="s">
        <v>461</v>
      </c>
      <c r="G9" s="121" t="s">
        <v>462</v>
      </c>
      <c r="H9" s="124" t="s">
        <v>463</v>
      </c>
      <c r="I9" s="124" t="s">
        <v>464</v>
      </c>
      <c r="J9" s="121" t="s">
        <v>468</v>
      </c>
    </row>
    <row r="10" ht="18.75" customHeight="1" spans="1:10">
      <c r="A10" s="121" t="str">
        <f t="shared" si="0"/>
        <v>    四排山乡东坡村便民服务站建设项目资金</v>
      </c>
      <c r="B10" s="124" t="s">
        <v>457</v>
      </c>
      <c r="C10" s="124" t="s">
        <v>458</v>
      </c>
      <c r="D10" s="124" t="s">
        <v>469</v>
      </c>
      <c r="E10" s="121" t="s">
        <v>470</v>
      </c>
      <c r="F10" s="124" t="s">
        <v>461</v>
      </c>
      <c r="G10" s="121" t="s">
        <v>462</v>
      </c>
      <c r="H10" s="124" t="s">
        <v>463</v>
      </c>
      <c r="I10" s="124" t="s">
        <v>464</v>
      </c>
      <c r="J10" s="121" t="s">
        <v>471</v>
      </c>
    </row>
    <row r="11" ht="18.75" customHeight="1" spans="1:10">
      <c r="A11" s="121" t="str">
        <f t="shared" si="0"/>
        <v>    四排山乡东坡村便民服务站建设项目资金</v>
      </c>
      <c r="B11" s="124" t="s">
        <v>457</v>
      </c>
      <c r="C11" s="124" t="s">
        <v>472</v>
      </c>
      <c r="D11" s="124" t="s">
        <v>473</v>
      </c>
      <c r="E11" s="121" t="s">
        <v>474</v>
      </c>
      <c r="F11" s="124" t="s">
        <v>461</v>
      </c>
      <c r="G11" s="121" t="s">
        <v>462</v>
      </c>
      <c r="H11" s="124" t="s">
        <v>463</v>
      </c>
      <c r="I11" s="124" t="s">
        <v>464</v>
      </c>
      <c r="J11" s="121" t="s">
        <v>475</v>
      </c>
    </row>
    <row r="12" ht="18.75" customHeight="1" spans="1:10">
      <c r="A12" s="121" t="str">
        <f t="shared" si="0"/>
        <v>    四排山乡东坡村便民服务站建设项目资金</v>
      </c>
      <c r="B12" s="124" t="s">
        <v>457</v>
      </c>
      <c r="C12" s="124" t="s">
        <v>476</v>
      </c>
      <c r="D12" s="124" t="s">
        <v>477</v>
      </c>
      <c r="E12" s="121" t="s">
        <v>478</v>
      </c>
      <c r="F12" s="124" t="s">
        <v>461</v>
      </c>
      <c r="G12" s="121" t="s">
        <v>462</v>
      </c>
      <c r="H12" s="124" t="s">
        <v>463</v>
      </c>
      <c r="I12" s="124" t="s">
        <v>464</v>
      </c>
      <c r="J12" s="121" t="s">
        <v>479</v>
      </c>
    </row>
    <row r="13" ht="18.75" customHeight="1" spans="1:10">
      <c r="A13" s="121" t="str">
        <f t="shared" ref="A13:A18" si="1">"    "&amp;"2025年统计工作经费"</f>
        <v>    2025年统计工作经费</v>
      </c>
      <c r="B13" s="124" t="s">
        <v>480</v>
      </c>
      <c r="C13" s="124" t="s">
        <v>458</v>
      </c>
      <c r="D13" s="124" t="s">
        <v>459</v>
      </c>
      <c r="E13" s="121" t="s">
        <v>481</v>
      </c>
      <c r="F13" s="124" t="s">
        <v>461</v>
      </c>
      <c r="G13" s="121" t="s">
        <v>482</v>
      </c>
      <c r="H13" s="124" t="s">
        <v>483</v>
      </c>
      <c r="I13" s="124" t="s">
        <v>484</v>
      </c>
      <c r="J13" s="121" t="s">
        <v>485</v>
      </c>
    </row>
    <row r="14" ht="18.75" customHeight="1" spans="1:10">
      <c r="A14" s="121" t="str">
        <f t="shared" si="1"/>
        <v>    2025年统计工作经费</v>
      </c>
      <c r="B14" s="124" t="s">
        <v>480</v>
      </c>
      <c r="C14" s="124" t="s">
        <v>458</v>
      </c>
      <c r="D14" s="124" t="s">
        <v>466</v>
      </c>
      <c r="E14" s="121" t="s">
        <v>486</v>
      </c>
      <c r="F14" s="124" t="s">
        <v>461</v>
      </c>
      <c r="G14" s="121" t="s">
        <v>462</v>
      </c>
      <c r="H14" s="124" t="s">
        <v>463</v>
      </c>
      <c r="I14" s="124" t="s">
        <v>464</v>
      </c>
      <c r="J14" s="121" t="s">
        <v>487</v>
      </c>
    </row>
    <row r="15" ht="18.75" customHeight="1" spans="1:10">
      <c r="A15" s="121" t="str">
        <f t="shared" si="1"/>
        <v>    2025年统计工作经费</v>
      </c>
      <c r="B15" s="124" t="s">
        <v>480</v>
      </c>
      <c r="C15" s="124" t="s">
        <v>458</v>
      </c>
      <c r="D15" s="124" t="s">
        <v>466</v>
      </c>
      <c r="E15" s="121" t="s">
        <v>488</v>
      </c>
      <c r="F15" s="124" t="s">
        <v>461</v>
      </c>
      <c r="G15" s="121" t="s">
        <v>462</v>
      </c>
      <c r="H15" s="124" t="s">
        <v>463</v>
      </c>
      <c r="I15" s="124" t="s">
        <v>464</v>
      </c>
      <c r="J15" s="121" t="s">
        <v>489</v>
      </c>
    </row>
    <row r="16" ht="18.75" customHeight="1" spans="1:10">
      <c r="A16" s="121" t="str">
        <f t="shared" si="1"/>
        <v>    2025年统计工作经费</v>
      </c>
      <c r="B16" s="124" t="s">
        <v>480</v>
      </c>
      <c r="C16" s="124" t="s">
        <v>458</v>
      </c>
      <c r="D16" s="124" t="s">
        <v>469</v>
      </c>
      <c r="E16" s="121" t="s">
        <v>490</v>
      </c>
      <c r="F16" s="124" t="s">
        <v>461</v>
      </c>
      <c r="G16" s="121" t="s">
        <v>462</v>
      </c>
      <c r="H16" s="124" t="s">
        <v>463</v>
      </c>
      <c r="I16" s="124" t="s">
        <v>464</v>
      </c>
      <c r="J16" s="121" t="s">
        <v>491</v>
      </c>
    </row>
    <row r="17" ht="18.75" customHeight="1" spans="1:10">
      <c r="A17" s="121" t="str">
        <f t="shared" si="1"/>
        <v>    2025年统计工作经费</v>
      </c>
      <c r="B17" s="124" t="s">
        <v>480</v>
      </c>
      <c r="C17" s="124" t="s">
        <v>472</v>
      </c>
      <c r="D17" s="124" t="s">
        <v>473</v>
      </c>
      <c r="E17" s="121" t="s">
        <v>492</v>
      </c>
      <c r="F17" s="124" t="s">
        <v>461</v>
      </c>
      <c r="G17" s="121" t="s">
        <v>462</v>
      </c>
      <c r="H17" s="124" t="s">
        <v>463</v>
      </c>
      <c r="I17" s="124" t="s">
        <v>464</v>
      </c>
      <c r="J17" s="121" t="s">
        <v>493</v>
      </c>
    </row>
    <row r="18" ht="18.75" customHeight="1" spans="1:10">
      <c r="A18" s="121" t="str">
        <f t="shared" si="1"/>
        <v>    2025年统计工作经费</v>
      </c>
      <c r="B18" s="124" t="s">
        <v>480</v>
      </c>
      <c r="C18" s="124" t="s">
        <v>476</v>
      </c>
      <c r="D18" s="124" t="s">
        <v>477</v>
      </c>
      <c r="E18" s="121" t="s">
        <v>494</v>
      </c>
      <c r="F18" s="124" t="s">
        <v>461</v>
      </c>
      <c r="G18" s="121" t="s">
        <v>462</v>
      </c>
      <c r="H18" s="124" t="s">
        <v>463</v>
      </c>
      <c r="I18" s="124" t="s">
        <v>464</v>
      </c>
      <c r="J18" s="121" t="s">
        <v>495</v>
      </c>
    </row>
    <row r="19" ht="18.75" customHeight="1" spans="1:10">
      <c r="A19" s="121" t="str">
        <f t="shared" ref="A19:A25" si="2">"    "&amp;"乡镇农村人居环境整治项目资金"</f>
        <v>    乡镇农村人居环境整治项目资金</v>
      </c>
      <c r="B19" s="124" t="s">
        <v>496</v>
      </c>
      <c r="C19" s="124" t="s">
        <v>458</v>
      </c>
      <c r="D19" s="124" t="s">
        <v>459</v>
      </c>
      <c r="E19" s="121" t="s">
        <v>460</v>
      </c>
      <c r="F19" s="124" t="s">
        <v>461</v>
      </c>
      <c r="G19" s="121" t="s">
        <v>462</v>
      </c>
      <c r="H19" s="124" t="s">
        <v>463</v>
      </c>
      <c r="I19" s="124" t="s">
        <v>464</v>
      </c>
      <c r="J19" s="121" t="s">
        <v>465</v>
      </c>
    </row>
    <row r="20" ht="18.75" customHeight="1" spans="1:10">
      <c r="A20" s="121" t="str">
        <f t="shared" si="2"/>
        <v>    乡镇农村人居环境整治项目资金</v>
      </c>
      <c r="B20" s="124" t="s">
        <v>496</v>
      </c>
      <c r="C20" s="124" t="s">
        <v>458</v>
      </c>
      <c r="D20" s="124" t="s">
        <v>459</v>
      </c>
      <c r="E20" s="121" t="s">
        <v>497</v>
      </c>
      <c r="F20" s="124" t="s">
        <v>461</v>
      </c>
      <c r="G20" s="121" t="s">
        <v>462</v>
      </c>
      <c r="H20" s="124" t="s">
        <v>463</v>
      </c>
      <c r="I20" s="124" t="s">
        <v>464</v>
      </c>
      <c r="J20" s="121" t="s">
        <v>498</v>
      </c>
    </row>
    <row r="21" ht="18.75" customHeight="1" spans="1:10">
      <c r="A21" s="121" t="str">
        <f t="shared" si="2"/>
        <v>    乡镇农村人居环境整治项目资金</v>
      </c>
      <c r="B21" s="124" t="s">
        <v>496</v>
      </c>
      <c r="C21" s="124" t="s">
        <v>458</v>
      </c>
      <c r="D21" s="124" t="s">
        <v>466</v>
      </c>
      <c r="E21" s="121" t="s">
        <v>467</v>
      </c>
      <c r="F21" s="124" t="s">
        <v>461</v>
      </c>
      <c r="G21" s="121" t="s">
        <v>462</v>
      </c>
      <c r="H21" s="124" t="s">
        <v>463</v>
      </c>
      <c r="I21" s="124" t="s">
        <v>464</v>
      </c>
      <c r="J21" s="121" t="s">
        <v>468</v>
      </c>
    </row>
    <row r="22" ht="18.75" customHeight="1" spans="1:10">
      <c r="A22" s="121" t="str">
        <f t="shared" si="2"/>
        <v>    乡镇农村人居环境整治项目资金</v>
      </c>
      <c r="B22" s="124" t="s">
        <v>496</v>
      </c>
      <c r="C22" s="124" t="s">
        <v>458</v>
      </c>
      <c r="D22" s="124" t="s">
        <v>469</v>
      </c>
      <c r="E22" s="121" t="s">
        <v>470</v>
      </c>
      <c r="F22" s="124" t="s">
        <v>461</v>
      </c>
      <c r="G22" s="121" t="s">
        <v>462</v>
      </c>
      <c r="H22" s="124" t="s">
        <v>463</v>
      </c>
      <c r="I22" s="124" t="s">
        <v>464</v>
      </c>
      <c r="J22" s="121" t="s">
        <v>471</v>
      </c>
    </row>
    <row r="23" ht="18.75" customHeight="1" spans="1:10">
      <c r="A23" s="121" t="str">
        <f t="shared" si="2"/>
        <v>    乡镇农村人居环境整治项目资金</v>
      </c>
      <c r="B23" s="124" t="s">
        <v>496</v>
      </c>
      <c r="C23" s="124" t="s">
        <v>458</v>
      </c>
      <c r="D23" s="124" t="s">
        <v>469</v>
      </c>
      <c r="E23" s="121" t="s">
        <v>499</v>
      </c>
      <c r="F23" s="124" t="s">
        <v>461</v>
      </c>
      <c r="G23" s="121" t="s">
        <v>462</v>
      </c>
      <c r="H23" s="124" t="s">
        <v>463</v>
      </c>
      <c r="I23" s="124" t="s">
        <v>464</v>
      </c>
      <c r="J23" s="121" t="s">
        <v>500</v>
      </c>
    </row>
    <row r="24" ht="18.75" customHeight="1" spans="1:10">
      <c r="A24" s="121" t="str">
        <f t="shared" si="2"/>
        <v>    乡镇农村人居环境整治项目资金</v>
      </c>
      <c r="B24" s="124" t="s">
        <v>496</v>
      </c>
      <c r="C24" s="124" t="s">
        <v>472</v>
      </c>
      <c r="D24" s="124" t="s">
        <v>473</v>
      </c>
      <c r="E24" s="121" t="s">
        <v>474</v>
      </c>
      <c r="F24" s="124" t="s">
        <v>461</v>
      </c>
      <c r="G24" s="121" t="s">
        <v>462</v>
      </c>
      <c r="H24" s="124" t="s">
        <v>463</v>
      </c>
      <c r="I24" s="124" t="s">
        <v>464</v>
      </c>
      <c r="J24" s="121" t="s">
        <v>475</v>
      </c>
    </row>
    <row r="25" ht="18.75" customHeight="1" spans="1:10">
      <c r="A25" s="121" t="str">
        <f t="shared" si="2"/>
        <v>    乡镇农村人居环境整治项目资金</v>
      </c>
      <c r="B25" s="124" t="s">
        <v>496</v>
      </c>
      <c r="C25" s="124" t="s">
        <v>476</v>
      </c>
      <c r="D25" s="124" t="s">
        <v>477</v>
      </c>
      <c r="E25" s="121" t="s">
        <v>478</v>
      </c>
      <c r="F25" s="124" t="s">
        <v>461</v>
      </c>
      <c r="G25" s="121" t="s">
        <v>462</v>
      </c>
      <c r="H25" s="124" t="s">
        <v>463</v>
      </c>
      <c r="I25" s="124" t="s">
        <v>464</v>
      </c>
      <c r="J25" s="121" t="s">
        <v>479</v>
      </c>
    </row>
    <row r="26" ht="18.75" customHeight="1" spans="1:10">
      <c r="A26" s="121" t="str">
        <f t="shared" ref="A26:A30" si="3">"    "&amp;"2025年全县重大项目前期工作经费"</f>
        <v>    2025年全县重大项目前期工作经费</v>
      </c>
      <c r="B26" s="124" t="s">
        <v>417</v>
      </c>
      <c r="C26" s="124" t="s">
        <v>458</v>
      </c>
      <c r="D26" s="124" t="s">
        <v>459</v>
      </c>
      <c r="E26" s="121" t="s">
        <v>460</v>
      </c>
      <c r="F26" s="124" t="s">
        <v>461</v>
      </c>
      <c r="G26" s="121" t="s">
        <v>462</v>
      </c>
      <c r="H26" s="124" t="s">
        <v>463</v>
      </c>
      <c r="I26" s="124" t="s">
        <v>464</v>
      </c>
      <c r="J26" s="121" t="s">
        <v>465</v>
      </c>
    </row>
    <row r="27" ht="18.75" customHeight="1" spans="1:10">
      <c r="A27" s="121" t="str">
        <f t="shared" si="3"/>
        <v>    2025年全县重大项目前期工作经费</v>
      </c>
      <c r="B27" s="124" t="s">
        <v>417</v>
      </c>
      <c r="C27" s="124" t="s">
        <v>458</v>
      </c>
      <c r="D27" s="124" t="s">
        <v>466</v>
      </c>
      <c r="E27" s="121" t="s">
        <v>467</v>
      </c>
      <c r="F27" s="124" t="s">
        <v>461</v>
      </c>
      <c r="G27" s="121" t="s">
        <v>462</v>
      </c>
      <c r="H27" s="124" t="s">
        <v>463</v>
      </c>
      <c r="I27" s="124" t="s">
        <v>464</v>
      </c>
      <c r="J27" s="121" t="s">
        <v>468</v>
      </c>
    </row>
    <row r="28" ht="18.75" customHeight="1" spans="1:10">
      <c r="A28" s="121" t="str">
        <f t="shared" si="3"/>
        <v>    2025年全县重大项目前期工作经费</v>
      </c>
      <c r="B28" s="124" t="s">
        <v>417</v>
      </c>
      <c r="C28" s="124" t="s">
        <v>458</v>
      </c>
      <c r="D28" s="124" t="s">
        <v>469</v>
      </c>
      <c r="E28" s="121" t="s">
        <v>470</v>
      </c>
      <c r="F28" s="124" t="s">
        <v>461</v>
      </c>
      <c r="G28" s="121" t="s">
        <v>462</v>
      </c>
      <c r="H28" s="124" t="s">
        <v>463</v>
      </c>
      <c r="I28" s="124" t="s">
        <v>464</v>
      </c>
      <c r="J28" s="121" t="s">
        <v>471</v>
      </c>
    </row>
    <row r="29" ht="18.75" customHeight="1" spans="1:10">
      <c r="A29" s="121" t="str">
        <f t="shared" si="3"/>
        <v>    2025年全县重大项目前期工作经费</v>
      </c>
      <c r="B29" s="124" t="s">
        <v>417</v>
      </c>
      <c r="C29" s="124" t="s">
        <v>472</v>
      </c>
      <c r="D29" s="124" t="s">
        <v>473</v>
      </c>
      <c r="E29" s="121" t="s">
        <v>474</v>
      </c>
      <c r="F29" s="124" t="s">
        <v>461</v>
      </c>
      <c r="G29" s="121" t="s">
        <v>462</v>
      </c>
      <c r="H29" s="124" t="s">
        <v>463</v>
      </c>
      <c r="I29" s="124" t="s">
        <v>464</v>
      </c>
      <c r="J29" s="121" t="s">
        <v>475</v>
      </c>
    </row>
    <row r="30" ht="18.75" customHeight="1" spans="1:10">
      <c r="A30" s="121" t="str">
        <f t="shared" si="3"/>
        <v>    2025年全县重大项目前期工作经费</v>
      </c>
      <c r="B30" s="124" t="s">
        <v>417</v>
      </c>
      <c r="C30" s="124" t="s">
        <v>476</v>
      </c>
      <c r="D30" s="124" t="s">
        <v>477</v>
      </c>
      <c r="E30" s="121" t="s">
        <v>478</v>
      </c>
      <c r="F30" s="124" t="s">
        <v>461</v>
      </c>
      <c r="G30" s="121" t="s">
        <v>462</v>
      </c>
      <c r="H30" s="124" t="s">
        <v>463</v>
      </c>
      <c r="I30" s="124" t="s">
        <v>464</v>
      </c>
      <c r="J30" s="121" t="s">
        <v>479</v>
      </c>
    </row>
    <row r="31" ht="18.75" customHeight="1" spans="1:10">
      <c r="A31" s="121" t="str">
        <f t="shared" ref="A31:A37" si="4">"    "&amp;"四排山乡党政班子以及村两委班子换届工作经费"</f>
        <v>    四排山乡党政班子以及村两委班子换届工作经费</v>
      </c>
      <c r="B31" s="124" t="s">
        <v>501</v>
      </c>
      <c r="C31" s="124" t="s">
        <v>458</v>
      </c>
      <c r="D31" s="124" t="s">
        <v>459</v>
      </c>
      <c r="E31" s="121" t="s">
        <v>502</v>
      </c>
      <c r="F31" s="124" t="s">
        <v>461</v>
      </c>
      <c r="G31" s="121" t="s">
        <v>503</v>
      </c>
      <c r="H31" s="124" t="s">
        <v>504</v>
      </c>
      <c r="I31" s="124" t="s">
        <v>484</v>
      </c>
      <c r="J31" s="121" t="s">
        <v>505</v>
      </c>
    </row>
    <row r="32" ht="18.75" customHeight="1" spans="1:10">
      <c r="A32" s="121" t="str">
        <f t="shared" si="4"/>
        <v>    四排山乡党政班子以及村两委班子换届工作经费</v>
      </c>
      <c r="B32" s="124" t="s">
        <v>506</v>
      </c>
      <c r="C32" s="124" t="s">
        <v>458</v>
      </c>
      <c r="D32" s="124" t="s">
        <v>466</v>
      </c>
      <c r="E32" s="121" t="s">
        <v>507</v>
      </c>
      <c r="F32" s="124" t="s">
        <v>461</v>
      </c>
      <c r="G32" s="121" t="s">
        <v>462</v>
      </c>
      <c r="H32" s="124" t="s">
        <v>463</v>
      </c>
      <c r="I32" s="124" t="s">
        <v>464</v>
      </c>
      <c r="J32" s="121" t="s">
        <v>508</v>
      </c>
    </row>
    <row r="33" ht="18.75" customHeight="1" spans="1:10">
      <c r="A33" s="121" t="str">
        <f t="shared" si="4"/>
        <v>    四排山乡党政班子以及村两委班子换届工作经费</v>
      </c>
      <c r="B33" s="124" t="s">
        <v>506</v>
      </c>
      <c r="C33" s="124" t="s">
        <v>458</v>
      </c>
      <c r="D33" s="124" t="s">
        <v>466</v>
      </c>
      <c r="E33" s="121" t="s">
        <v>509</v>
      </c>
      <c r="F33" s="124" t="s">
        <v>461</v>
      </c>
      <c r="G33" s="121" t="s">
        <v>462</v>
      </c>
      <c r="H33" s="124" t="s">
        <v>463</v>
      </c>
      <c r="I33" s="124" t="s">
        <v>464</v>
      </c>
      <c r="J33" s="121" t="s">
        <v>510</v>
      </c>
    </row>
    <row r="34" ht="18.75" customHeight="1" spans="1:10">
      <c r="A34" s="121" t="str">
        <f t="shared" si="4"/>
        <v>    四排山乡党政班子以及村两委班子换届工作经费</v>
      </c>
      <c r="B34" s="124" t="s">
        <v>506</v>
      </c>
      <c r="C34" s="124" t="s">
        <v>458</v>
      </c>
      <c r="D34" s="124" t="s">
        <v>469</v>
      </c>
      <c r="E34" s="121" t="s">
        <v>511</v>
      </c>
      <c r="F34" s="124" t="s">
        <v>461</v>
      </c>
      <c r="G34" s="121" t="s">
        <v>462</v>
      </c>
      <c r="H34" s="124" t="s">
        <v>463</v>
      </c>
      <c r="I34" s="124" t="s">
        <v>464</v>
      </c>
      <c r="J34" s="121" t="s">
        <v>512</v>
      </c>
    </row>
    <row r="35" ht="18.75" customHeight="1" spans="1:10">
      <c r="A35" s="121" t="str">
        <f t="shared" si="4"/>
        <v>    四排山乡党政班子以及村两委班子换届工作经费</v>
      </c>
      <c r="B35" s="124" t="s">
        <v>506</v>
      </c>
      <c r="C35" s="124" t="s">
        <v>472</v>
      </c>
      <c r="D35" s="124" t="s">
        <v>473</v>
      </c>
      <c r="E35" s="121" t="s">
        <v>513</v>
      </c>
      <c r="F35" s="124" t="s">
        <v>461</v>
      </c>
      <c r="G35" s="121" t="s">
        <v>462</v>
      </c>
      <c r="H35" s="124" t="s">
        <v>463</v>
      </c>
      <c r="I35" s="124" t="s">
        <v>464</v>
      </c>
      <c r="J35" s="121" t="s">
        <v>514</v>
      </c>
    </row>
    <row r="36" ht="18.75" customHeight="1" spans="1:10">
      <c r="A36" s="121" t="str">
        <f t="shared" si="4"/>
        <v>    四排山乡党政班子以及村两委班子换届工作经费</v>
      </c>
      <c r="B36" s="124" t="s">
        <v>506</v>
      </c>
      <c r="C36" s="124" t="s">
        <v>476</v>
      </c>
      <c r="D36" s="124" t="s">
        <v>477</v>
      </c>
      <c r="E36" s="121" t="s">
        <v>494</v>
      </c>
      <c r="F36" s="124" t="s">
        <v>461</v>
      </c>
      <c r="G36" s="121" t="s">
        <v>462</v>
      </c>
      <c r="H36" s="124" t="s">
        <v>463</v>
      </c>
      <c r="I36" s="124" t="s">
        <v>464</v>
      </c>
      <c r="J36" s="121" t="s">
        <v>495</v>
      </c>
    </row>
    <row r="37" ht="18.75" customHeight="1" spans="1:10">
      <c r="A37" s="121" t="str">
        <f t="shared" si="4"/>
        <v>    四排山乡党政班子以及村两委班子换届工作经费</v>
      </c>
      <c r="B37" s="124" t="s">
        <v>506</v>
      </c>
      <c r="C37" s="124" t="s">
        <v>476</v>
      </c>
      <c r="D37" s="124" t="s">
        <v>477</v>
      </c>
      <c r="E37" s="121" t="s">
        <v>515</v>
      </c>
      <c r="F37" s="124" t="s">
        <v>461</v>
      </c>
      <c r="G37" s="121" t="s">
        <v>462</v>
      </c>
      <c r="H37" s="124" t="s">
        <v>463</v>
      </c>
      <c r="I37" s="124" t="s">
        <v>464</v>
      </c>
      <c r="J37" s="121" t="s">
        <v>516</v>
      </c>
    </row>
    <row r="38" ht="18.75" customHeight="1" spans="1:10">
      <c r="A38" s="121" t="str">
        <f t="shared" ref="A38:A41" si="5">"    "&amp;"四排山乡综合办公室基础功能提升项目资金"</f>
        <v>    四排山乡综合办公室基础功能提升项目资金</v>
      </c>
      <c r="B38" s="124" t="s">
        <v>517</v>
      </c>
      <c r="C38" s="124" t="s">
        <v>458</v>
      </c>
      <c r="D38" s="124" t="s">
        <v>459</v>
      </c>
      <c r="E38" s="121" t="s">
        <v>502</v>
      </c>
      <c r="F38" s="124" t="s">
        <v>461</v>
      </c>
      <c r="G38" s="121" t="s">
        <v>518</v>
      </c>
      <c r="H38" s="124" t="s">
        <v>504</v>
      </c>
      <c r="I38" s="124" t="s">
        <v>484</v>
      </c>
      <c r="J38" s="121" t="s">
        <v>505</v>
      </c>
    </row>
    <row r="39" ht="18.75" customHeight="1" spans="1:10">
      <c r="A39" s="121" t="str">
        <f t="shared" si="5"/>
        <v>    四排山乡综合办公室基础功能提升项目资金</v>
      </c>
      <c r="B39" s="124" t="s">
        <v>517</v>
      </c>
      <c r="C39" s="124" t="s">
        <v>458</v>
      </c>
      <c r="D39" s="124" t="s">
        <v>466</v>
      </c>
      <c r="E39" s="121" t="s">
        <v>519</v>
      </c>
      <c r="F39" s="124" t="s">
        <v>461</v>
      </c>
      <c r="G39" s="121" t="s">
        <v>462</v>
      </c>
      <c r="H39" s="124" t="s">
        <v>463</v>
      </c>
      <c r="I39" s="124" t="s">
        <v>464</v>
      </c>
      <c r="J39" s="121" t="s">
        <v>520</v>
      </c>
    </row>
    <row r="40" ht="18.75" customHeight="1" spans="1:10">
      <c r="A40" s="121" t="str">
        <f t="shared" si="5"/>
        <v>    四排山乡综合办公室基础功能提升项目资金</v>
      </c>
      <c r="B40" s="124" t="s">
        <v>517</v>
      </c>
      <c r="C40" s="124" t="s">
        <v>472</v>
      </c>
      <c r="D40" s="124" t="s">
        <v>473</v>
      </c>
      <c r="E40" s="121" t="s">
        <v>521</v>
      </c>
      <c r="F40" s="124" t="s">
        <v>461</v>
      </c>
      <c r="G40" s="121" t="s">
        <v>462</v>
      </c>
      <c r="H40" s="124" t="s">
        <v>463</v>
      </c>
      <c r="I40" s="124" t="s">
        <v>464</v>
      </c>
      <c r="J40" s="121" t="s">
        <v>522</v>
      </c>
    </row>
    <row r="41" ht="18.75" customHeight="1" spans="1:10">
      <c r="A41" s="121" t="str">
        <f t="shared" si="5"/>
        <v>    四排山乡综合办公室基础功能提升项目资金</v>
      </c>
      <c r="B41" s="124" t="s">
        <v>517</v>
      </c>
      <c r="C41" s="124" t="s">
        <v>476</v>
      </c>
      <c r="D41" s="124" t="s">
        <v>477</v>
      </c>
      <c r="E41" s="121" t="s">
        <v>494</v>
      </c>
      <c r="F41" s="124" t="s">
        <v>461</v>
      </c>
      <c r="G41" s="121" t="s">
        <v>462</v>
      </c>
      <c r="H41" s="124" t="s">
        <v>463</v>
      </c>
      <c r="I41" s="124" t="s">
        <v>464</v>
      </c>
      <c r="J41" s="121" t="s">
        <v>495</v>
      </c>
    </row>
    <row r="42" ht="18.75" customHeight="1" spans="1:10">
      <c r="A42" s="121" t="str">
        <f t="shared" ref="A42:A46" si="6">"    "&amp;"人才招引安家补助经费"</f>
        <v>    人才招引安家补助经费</v>
      </c>
      <c r="B42" s="124" t="s">
        <v>523</v>
      </c>
      <c r="C42" s="124" t="s">
        <v>458</v>
      </c>
      <c r="D42" s="124" t="s">
        <v>459</v>
      </c>
      <c r="E42" s="121" t="s">
        <v>524</v>
      </c>
      <c r="F42" s="124" t="s">
        <v>525</v>
      </c>
      <c r="G42" s="121" t="s">
        <v>526</v>
      </c>
      <c r="H42" s="124" t="s">
        <v>527</v>
      </c>
      <c r="I42" s="124" t="s">
        <v>484</v>
      </c>
      <c r="J42" s="121" t="s">
        <v>528</v>
      </c>
    </row>
    <row r="43" ht="18.75" customHeight="1" spans="1:10">
      <c r="A43" s="121" t="str">
        <f t="shared" si="6"/>
        <v>    人才招引安家补助经费</v>
      </c>
      <c r="B43" s="124" t="s">
        <v>523</v>
      </c>
      <c r="C43" s="124" t="s">
        <v>458</v>
      </c>
      <c r="D43" s="124" t="s">
        <v>466</v>
      </c>
      <c r="E43" s="121" t="s">
        <v>529</v>
      </c>
      <c r="F43" s="124" t="s">
        <v>525</v>
      </c>
      <c r="G43" s="121" t="s">
        <v>462</v>
      </c>
      <c r="H43" s="124" t="s">
        <v>463</v>
      </c>
      <c r="I43" s="124" t="s">
        <v>464</v>
      </c>
      <c r="J43" s="121" t="s">
        <v>530</v>
      </c>
    </row>
    <row r="44" ht="18.75" customHeight="1" spans="1:10">
      <c r="A44" s="121" t="str">
        <f t="shared" si="6"/>
        <v>    人才招引安家补助经费</v>
      </c>
      <c r="B44" s="124" t="s">
        <v>523</v>
      </c>
      <c r="C44" s="124" t="s">
        <v>458</v>
      </c>
      <c r="D44" s="124" t="s">
        <v>469</v>
      </c>
      <c r="E44" s="121" t="s">
        <v>531</v>
      </c>
      <c r="F44" s="124" t="s">
        <v>525</v>
      </c>
      <c r="G44" s="121" t="s">
        <v>462</v>
      </c>
      <c r="H44" s="124" t="s">
        <v>463</v>
      </c>
      <c r="I44" s="124" t="s">
        <v>464</v>
      </c>
      <c r="J44" s="121" t="s">
        <v>532</v>
      </c>
    </row>
    <row r="45" ht="18.75" customHeight="1" spans="1:10">
      <c r="A45" s="121" t="str">
        <f t="shared" si="6"/>
        <v>    人才招引安家补助经费</v>
      </c>
      <c r="B45" s="124" t="s">
        <v>523</v>
      </c>
      <c r="C45" s="124" t="s">
        <v>472</v>
      </c>
      <c r="D45" s="124" t="s">
        <v>473</v>
      </c>
      <c r="E45" s="121" t="s">
        <v>521</v>
      </c>
      <c r="F45" s="124" t="s">
        <v>461</v>
      </c>
      <c r="G45" s="121" t="s">
        <v>462</v>
      </c>
      <c r="H45" s="124" t="s">
        <v>463</v>
      </c>
      <c r="I45" s="124" t="s">
        <v>464</v>
      </c>
      <c r="J45" s="121" t="s">
        <v>522</v>
      </c>
    </row>
    <row r="46" ht="18.75" customHeight="1" spans="1:10">
      <c r="A46" s="121" t="str">
        <f t="shared" si="6"/>
        <v>    人才招引安家补助经费</v>
      </c>
      <c r="B46" s="124" t="s">
        <v>523</v>
      </c>
      <c r="C46" s="124" t="s">
        <v>476</v>
      </c>
      <c r="D46" s="124" t="s">
        <v>477</v>
      </c>
      <c r="E46" s="121" t="s">
        <v>494</v>
      </c>
      <c r="F46" s="124" t="s">
        <v>461</v>
      </c>
      <c r="G46" s="121" t="s">
        <v>462</v>
      </c>
      <c r="H46" s="124" t="s">
        <v>463</v>
      </c>
      <c r="I46" s="124" t="s">
        <v>464</v>
      </c>
      <c r="J46" s="121" t="s">
        <v>495</v>
      </c>
    </row>
    <row r="47" ht="18.75" customHeight="1" spans="1:10">
      <c r="A47" s="121" t="str">
        <f t="shared" ref="A47:A51" si="7">"    "&amp;"四排山乡芒翁村委会芒美自然村产业路建设、芒翁村委会芒翁自然村应急避难场所建设资金"</f>
        <v>    四排山乡芒翁村委会芒美自然村产业路建设、芒翁村委会芒翁自然村应急避难场所建设资金</v>
      </c>
      <c r="B47" s="124" t="s">
        <v>533</v>
      </c>
      <c r="C47" s="124" t="s">
        <v>458</v>
      </c>
      <c r="D47" s="124" t="s">
        <v>459</v>
      </c>
      <c r="E47" s="121" t="s">
        <v>460</v>
      </c>
      <c r="F47" s="124" t="s">
        <v>461</v>
      </c>
      <c r="G47" s="121" t="s">
        <v>462</v>
      </c>
      <c r="H47" s="124" t="s">
        <v>463</v>
      </c>
      <c r="I47" s="124" t="s">
        <v>464</v>
      </c>
      <c r="J47" s="121" t="s">
        <v>465</v>
      </c>
    </row>
    <row r="48" ht="18.75" customHeight="1" spans="1:10">
      <c r="A48" s="121" t="str">
        <f t="shared" si="7"/>
        <v>    四排山乡芒翁村委会芒美自然村产业路建设、芒翁村委会芒翁自然村应急避难场所建设资金</v>
      </c>
      <c r="B48" s="124" t="s">
        <v>533</v>
      </c>
      <c r="C48" s="124" t="s">
        <v>458</v>
      </c>
      <c r="D48" s="124" t="s">
        <v>466</v>
      </c>
      <c r="E48" s="121" t="s">
        <v>467</v>
      </c>
      <c r="F48" s="124" t="s">
        <v>461</v>
      </c>
      <c r="G48" s="121" t="s">
        <v>462</v>
      </c>
      <c r="H48" s="124" t="s">
        <v>463</v>
      </c>
      <c r="I48" s="124" t="s">
        <v>464</v>
      </c>
      <c r="J48" s="121" t="s">
        <v>468</v>
      </c>
    </row>
    <row r="49" ht="18.75" customHeight="1" spans="1:10">
      <c r="A49" s="121" t="str">
        <f t="shared" si="7"/>
        <v>    四排山乡芒翁村委会芒美自然村产业路建设、芒翁村委会芒翁自然村应急避难场所建设资金</v>
      </c>
      <c r="B49" s="124" t="s">
        <v>533</v>
      </c>
      <c r="C49" s="124" t="s">
        <v>458</v>
      </c>
      <c r="D49" s="124" t="s">
        <v>469</v>
      </c>
      <c r="E49" s="121" t="s">
        <v>470</v>
      </c>
      <c r="F49" s="124" t="s">
        <v>461</v>
      </c>
      <c r="G49" s="121" t="s">
        <v>462</v>
      </c>
      <c r="H49" s="124" t="s">
        <v>463</v>
      </c>
      <c r="I49" s="124" t="s">
        <v>464</v>
      </c>
      <c r="J49" s="121" t="s">
        <v>471</v>
      </c>
    </row>
    <row r="50" ht="18.75" customHeight="1" spans="1:10">
      <c r="A50" s="121" t="str">
        <f t="shared" si="7"/>
        <v>    四排山乡芒翁村委会芒美自然村产业路建设、芒翁村委会芒翁自然村应急避难场所建设资金</v>
      </c>
      <c r="B50" s="124" t="s">
        <v>533</v>
      </c>
      <c r="C50" s="124" t="s">
        <v>472</v>
      </c>
      <c r="D50" s="124" t="s">
        <v>473</v>
      </c>
      <c r="E50" s="121" t="s">
        <v>474</v>
      </c>
      <c r="F50" s="124" t="s">
        <v>461</v>
      </c>
      <c r="G50" s="121" t="s">
        <v>462</v>
      </c>
      <c r="H50" s="124" t="s">
        <v>463</v>
      </c>
      <c r="I50" s="124" t="s">
        <v>464</v>
      </c>
      <c r="J50" s="121" t="s">
        <v>475</v>
      </c>
    </row>
    <row r="51" ht="18.75" customHeight="1" spans="1:10">
      <c r="A51" s="121" t="str">
        <f t="shared" si="7"/>
        <v>    四排山乡芒翁村委会芒美自然村产业路建设、芒翁村委会芒翁自然村应急避难场所建设资金</v>
      </c>
      <c r="B51" s="124" t="s">
        <v>533</v>
      </c>
      <c r="C51" s="124" t="s">
        <v>476</v>
      </c>
      <c r="D51" s="124" t="s">
        <v>477</v>
      </c>
      <c r="E51" s="121" t="s">
        <v>478</v>
      </c>
      <c r="F51" s="124" t="s">
        <v>461</v>
      </c>
      <c r="G51" s="121" t="s">
        <v>462</v>
      </c>
      <c r="H51" s="124" t="s">
        <v>463</v>
      </c>
      <c r="I51" s="124" t="s">
        <v>464</v>
      </c>
      <c r="J51" s="121" t="s">
        <v>479</v>
      </c>
    </row>
    <row r="52" ht="18.75" customHeight="1" spans="1:10">
      <c r="A52" s="121" t="str">
        <f t="shared" ref="A52:A56" si="8">"    "&amp;"四排山乡2025年文化建设工作经费"</f>
        <v>    四排山乡2025年文化建设工作经费</v>
      </c>
      <c r="B52" s="124" t="s">
        <v>534</v>
      </c>
      <c r="C52" s="124" t="s">
        <v>458</v>
      </c>
      <c r="D52" s="124" t="s">
        <v>459</v>
      </c>
      <c r="E52" s="121" t="s">
        <v>460</v>
      </c>
      <c r="F52" s="124" t="s">
        <v>461</v>
      </c>
      <c r="G52" s="121" t="s">
        <v>462</v>
      </c>
      <c r="H52" s="124" t="s">
        <v>463</v>
      </c>
      <c r="I52" s="124" t="s">
        <v>464</v>
      </c>
      <c r="J52" s="121" t="s">
        <v>465</v>
      </c>
    </row>
    <row r="53" ht="18.75" customHeight="1" spans="1:10">
      <c r="A53" s="121" t="str">
        <f t="shared" si="8"/>
        <v>    四排山乡2025年文化建设工作经费</v>
      </c>
      <c r="B53" s="124" t="s">
        <v>534</v>
      </c>
      <c r="C53" s="124" t="s">
        <v>458</v>
      </c>
      <c r="D53" s="124" t="s">
        <v>466</v>
      </c>
      <c r="E53" s="121" t="s">
        <v>467</v>
      </c>
      <c r="F53" s="124" t="s">
        <v>461</v>
      </c>
      <c r="G53" s="121" t="s">
        <v>462</v>
      </c>
      <c r="H53" s="124" t="s">
        <v>463</v>
      </c>
      <c r="I53" s="124" t="s">
        <v>464</v>
      </c>
      <c r="J53" s="121" t="s">
        <v>468</v>
      </c>
    </row>
    <row r="54" ht="18.75" customHeight="1" spans="1:10">
      <c r="A54" s="121" t="str">
        <f t="shared" si="8"/>
        <v>    四排山乡2025年文化建设工作经费</v>
      </c>
      <c r="B54" s="124" t="s">
        <v>534</v>
      </c>
      <c r="C54" s="124" t="s">
        <v>458</v>
      </c>
      <c r="D54" s="124" t="s">
        <v>469</v>
      </c>
      <c r="E54" s="121" t="s">
        <v>470</v>
      </c>
      <c r="F54" s="124" t="s">
        <v>461</v>
      </c>
      <c r="G54" s="121" t="s">
        <v>462</v>
      </c>
      <c r="H54" s="124" t="s">
        <v>463</v>
      </c>
      <c r="I54" s="124" t="s">
        <v>464</v>
      </c>
      <c r="J54" s="121" t="s">
        <v>471</v>
      </c>
    </row>
    <row r="55" ht="18.75" customHeight="1" spans="1:10">
      <c r="A55" s="121" t="str">
        <f t="shared" si="8"/>
        <v>    四排山乡2025年文化建设工作经费</v>
      </c>
      <c r="B55" s="124" t="s">
        <v>534</v>
      </c>
      <c r="C55" s="124" t="s">
        <v>472</v>
      </c>
      <c r="D55" s="124" t="s">
        <v>473</v>
      </c>
      <c r="E55" s="121" t="s">
        <v>474</v>
      </c>
      <c r="F55" s="124" t="s">
        <v>461</v>
      </c>
      <c r="G55" s="121" t="s">
        <v>462</v>
      </c>
      <c r="H55" s="124" t="s">
        <v>463</v>
      </c>
      <c r="I55" s="124" t="s">
        <v>464</v>
      </c>
      <c r="J55" s="121" t="s">
        <v>475</v>
      </c>
    </row>
    <row r="56" ht="18.75" customHeight="1" spans="1:10">
      <c r="A56" s="121" t="str">
        <f t="shared" si="8"/>
        <v>    四排山乡2025年文化建设工作经费</v>
      </c>
      <c r="B56" s="124" t="s">
        <v>534</v>
      </c>
      <c r="C56" s="124" t="s">
        <v>476</v>
      </c>
      <c r="D56" s="124" t="s">
        <v>477</v>
      </c>
      <c r="E56" s="121" t="s">
        <v>478</v>
      </c>
      <c r="F56" s="124" t="s">
        <v>461</v>
      </c>
      <c r="G56" s="121" t="s">
        <v>462</v>
      </c>
      <c r="H56" s="124" t="s">
        <v>463</v>
      </c>
      <c r="I56" s="124" t="s">
        <v>464</v>
      </c>
      <c r="J56" s="121" t="s">
        <v>479</v>
      </c>
    </row>
    <row r="57" ht="18.75" customHeight="1" spans="1:10">
      <c r="A57" s="121" t="str">
        <f t="shared" ref="A57:A60" si="9">"    "&amp;"四排山乡自然村提质改造项目资金"</f>
        <v>    四排山乡自然村提质改造项目资金</v>
      </c>
      <c r="B57" s="124" t="s">
        <v>535</v>
      </c>
      <c r="C57" s="124" t="s">
        <v>458</v>
      </c>
      <c r="D57" s="124" t="s">
        <v>469</v>
      </c>
      <c r="E57" s="121" t="s">
        <v>470</v>
      </c>
      <c r="F57" s="124" t="s">
        <v>461</v>
      </c>
      <c r="G57" s="121" t="s">
        <v>462</v>
      </c>
      <c r="H57" s="124" t="s">
        <v>463</v>
      </c>
      <c r="I57" s="124" t="s">
        <v>484</v>
      </c>
      <c r="J57" s="121" t="s">
        <v>471</v>
      </c>
    </row>
    <row r="58" ht="18.75" customHeight="1" spans="1:10">
      <c r="A58" s="121" t="str">
        <f t="shared" si="9"/>
        <v>    四排山乡自然村提质改造项目资金</v>
      </c>
      <c r="B58" s="124" t="s">
        <v>535</v>
      </c>
      <c r="C58" s="124" t="s">
        <v>472</v>
      </c>
      <c r="D58" s="124" t="s">
        <v>473</v>
      </c>
      <c r="E58" s="121" t="s">
        <v>474</v>
      </c>
      <c r="F58" s="124" t="s">
        <v>461</v>
      </c>
      <c r="G58" s="121" t="s">
        <v>462</v>
      </c>
      <c r="H58" s="124" t="s">
        <v>463</v>
      </c>
      <c r="I58" s="124" t="s">
        <v>464</v>
      </c>
      <c r="J58" s="121" t="s">
        <v>475</v>
      </c>
    </row>
    <row r="59" ht="18.75" customHeight="1" spans="1:10">
      <c r="A59" s="121" t="str">
        <f t="shared" si="9"/>
        <v>    四排山乡自然村提质改造项目资金</v>
      </c>
      <c r="B59" s="124" t="s">
        <v>535</v>
      </c>
      <c r="C59" s="124" t="s">
        <v>472</v>
      </c>
      <c r="D59" s="124" t="s">
        <v>536</v>
      </c>
      <c r="E59" s="121" t="s">
        <v>537</v>
      </c>
      <c r="F59" s="124" t="s">
        <v>525</v>
      </c>
      <c r="G59" s="121" t="s">
        <v>518</v>
      </c>
      <c r="H59" s="124" t="s">
        <v>538</v>
      </c>
      <c r="I59" s="124" t="s">
        <v>484</v>
      </c>
      <c r="J59" s="121" t="s">
        <v>539</v>
      </c>
    </row>
    <row r="60" ht="18.75" customHeight="1" spans="1:10">
      <c r="A60" s="121" t="str">
        <f t="shared" si="9"/>
        <v>    四排山乡自然村提质改造项目资金</v>
      </c>
      <c r="B60" s="124" t="s">
        <v>535</v>
      </c>
      <c r="C60" s="124" t="s">
        <v>476</v>
      </c>
      <c r="D60" s="124" t="s">
        <v>477</v>
      </c>
      <c r="E60" s="121" t="s">
        <v>478</v>
      </c>
      <c r="F60" s="124" t="s">
        <v>461</v>
      </c>
      <c r="G60" s="121" t="s">
        <v>462</v>
      </c>
      <c r="H60" s="124" t="s">
        <v>463</v>
      </c>
      <c r="I60" s="124" t="s">
        <v>464</v>
      </c>
      <c r="J60" s="121" t="s">
        <v>479</v>
      </c>
    </row>
    <row r="61" ht="18.75" customHeight="1" spans="1:10">
      <c r="A61" s="121" t="str">
        <f t="shared" ref="A61:A66" si="10">"    "&amp;"四排山乡建设项目资金"</f>
        <v>    四排山乡建设项目资金</v>
      </c>
      <c r="B61" s="124" t="s">
        <v>540</v>
      </c>
      <c r="C61" s="124" t="s">
        <v>458</v>
      </c>
      <c r="D61" s="124" t="s">
        <v>459</v>
      </c>
      <c r="E61" s="121" t="s">
        <v>502</v>
      </c>
      <c r="F61" s="124" t="s">
        <v>461</v>
      </c>
      <c r="G61" s="121" t="s">
        <v>503</v>
      </c>
      <c r="H61" s="124" t="s">
        <v>504</v>
      </c>
      <c r="I61" s="124" t="s">
        <v>484</v>
      </c>
      <c r="J61" s="121" t="s">
        <v>505</v>
      </c>
    </row>
    <row r="62" ht="18.75" customHeight="1" spans="1:10">
      <c r="A62" s="121" t="str">
        <f t="shared" si="10"/>
        <v>    四排山乡建设项目资金</v>
      </c>
      <c r="B62" s="124" t="s">
        <v>540</v>
      </c>
      <c r="C62" s="124" t="s">
        <v>458</v>
      </c>
      <c r="D62" s="124" t="s">
        <v>466</v>
      </c>
      <c r="E62" s="121" t="s">
        <v>541</v>
      </c>
      <c r="F62" s="124" t="s">
        <v>525</v>
      </c>
      <c r="G62" s="121" t="s">
        <v>462</v>
      </c>
      <c r="H62" s="124" t="s">
        <v>463</v>
      </c>
      <c r="I62" s="124" t="s">
        <v>464</v>
      </c>
      <c r="J62" s="121" t="s">
        <v>542</v>
      </c>
    </row>
    <row r="63" ht="18.75" customHeight="1" spans="1:10">
      <c r="A63" s="121" t="str">
        <f t="shared" si="10"/>
        <v>    四排山乡建设项目资金</v>
      </c>
      <c r="B63" s="124" t="s">
        <v>540</v>
      </c>
      <c r="C63" s="124" t="s">
        <v>458</v>
      </c>
      <c r="D63" s="124" t="s">
        <v>466</v>
      </c>
      <c r="E63" s="121" t="s">
        <v>529</v>
      </c>
      <c r="F63" s="124" t="s">
        <v>525</v>
      </c>
      <c r="G63" s="121" t="s">
        <v>462</v>
      </c>
      <c r="H63" s="124" t="s">
        <v>463</v>
      </c>
      <c r="I63" s="124" t="s">
        <v>464</v>
      </c>
      <c r="J63" s="121" t="s">
        <v>530</v>
      </c>
    </row>
    <row r="64" ht="18.75" customHeight="1" spans="1:10">
      <c r="A64" s="121" t="str">
        <f t="shared" si="10"/>
        <v>    四排山乡建设项目资金</v>
      </c>
      <c r="B64" s="124" t="s">
        <v>540</v>
      </c>
      <c r="C64" s="124" t="s">
        <v>458</v>
      </c>
      <c r="D64" s="124" t="s">
        <v>469</v>
      </c>
      <c r="E64" s="121" t="s">
        <v>531</v>
      </c>
      <c r="F64" s="124" t="s">
        <v>525</v>
      </c>
      <c r="G64" s="121" t="s">
        <v>462</v>
      </c>
      <c r="H64" s="124" t="s">
        <v>463</v>
      </c>
      <c r="I64" s="124" t="s">
        <v>464</v>
      </c>
      <c r="J64" s="121" t="s">
        <v>532</v>
      </c>
    </row>
    <row r="65" ht="18.75" customHeight="1" spans="1:10">
      <c r="A65" s="121" t="str">
        <f t="shared" si="10"/>
        <v>    四排山乡建设项目资金</v>
      </c>
      <c r="B65" s="124" t="s">
        <v>540</v>
      </c>
      <c r="C65" s="124" t="s">
        <v>472</v>
      </c>
      <c r="D65" s="124" t="s">
        <v>473</v>
      </c>
      <c r="E65" s="121" t="s">
        <v>521</v>
      </c>
      <c r="F65" s="124" t="s">
        <v>461</v>
      </c>
      <c r="G65" s="121" t="s">
        <v>462</v>
      </c>
      <c r="H65" s="124" t="s">
        <v>463</v>
      </c>
      <c r="I65" s="124" t="s">
        <v>464</v>
      </c>
      <c r="J65" s="121" t="s">
        <v>522</v>
      </c>
    </row>
    <row r="66" ht="18.75" customHeight="1" spans="1:10">
      <c r="A66" s="121" t="str">
        <f t="shared" si="10"/>
        <v>    四排山乡建设项目资金</v>
      </c>
      <c r="B66" s="124" t="s">
        <v>540</v>
      </c>
      <c r="C66" s="124" t="s">
        <v>476</v>
      </c>
      <c r="D66" s="124" t="s">
        <v>477</v>
      </c>
      <c r="E66" s="121" t="s">
        <v>494</v>
      </c>
      <c r="F66" s="124" t="s">
        <v>461</v>
      </c>
      <c r="G66" s="121" t="s">
        <v>462</v>
      </c>
      <c r="H66" s="124" t="s">
        <v>463</v>
      </c>
      <c r="I66" s="124" t="s">
        <v>464</v>
      </c>
      <c r="J66" s="121" t="s">
        <v>495</v>
      </c>
    </row>
    <row r="67" ht="18.75" customHeight="1" spans="1:10">
      <c r="A67" s="121" t="str">
        <f t="shared" ref="A67:A71" si="11">"    "&amp;"2025年春节慰问经费"</f>
        <v>    2025年春节慰问经费</v>
      </c>
      <c r="B67" s="124" t="s">
        <v>414</v>
      </c>
      <c r="C67" s="124" t="s">
        <v>458</v>
      </c>
      <c r="D67" s="124" t="s">
        <v>459</v>
      </c>
      <c r="E67" s="121" t="s">
        <v>502</v>
      </c>
      <c r="F67" s="124" t="s">
        <v>461</v>
      </c>
      <c r="G67" s="121" t="s">
        <v>503</v>
      </c>
      <c r="H67" s="124" t="s">
        <v>504</v>
      </c>
      <c r="I67" s="124" t="s">
        <v>484</v>
      </c>
      <c r="J67" s="121" t="s">
        <v>505</v>
      </c>
    </row>
    <row r="68" ht="18.75" customHeight="1" spans="1:10">
      <c r="A68" s="121" t="str">
        <f t="shared" si="11"/>
        <v>    2025年春节慰问经费</v>
      </c>
      <c r="B68" s="124" t="s">
        <v>414</v>
      </c>
      <c r="C68" s="124" t="s">
        <v>458</v>
      </c>
      <c r="D68" s="124" t="s">
        <v>466</v>
      </c>
      <c r="E68" s="121" t="s">
        <v>541</v>
      </c>
      <c r="F68" s="124" t="s">
        <v>525</v>
      </c>
      <c r="G68" s="121" t="s">
        <v>462</v>
      </c>
      <c r="H68" s="124" t="s">
        <v>463</v>
      </c>
      <c r="I68" s="124" t="s">
        <v>464</v>
      </c>
      <c r="J68" s="121" t="s">
        <v>542</v>
      </c>
    </row>
    <row r="69" ht="18.75" customHeight="1" spans="1:10">
      <c r="A69" s="121" t="str">
        <f t="shared" si="11"/>
        <v>    2025年春节慰问经费</v>
      </c>
      <c r="B69" s="124" t="s">
        <v>414</v>
      </c>
      <c r="C69" s="124" t="s">
        <v>458</v>
      </c>
      <c r="D69" s="124" t="s">
        <v>469</v>
      </c>
      <c r="E69" s="121" t="s">
        <v>531</v>
      </c>
      <c r="F69" s="124" t="s">
        <v>525</v>
      </c>
      <c r="G69" s="121" t="s">
        <v>462</v>
      </c>
      <c r="H69" s="124" t="s">
        <v>463</v>
      </c>
      <c r="I69" s="124" t="s">
        <v>464</v>
      </c>
      <c r="J69" s="121" t="s">
        <v>532</v>
      </c>
    </row>
    <row r="70" ht="18.75" customHeight="1" spans="1:10">
      <c r="A70" s="121" t="str">
        <f t="shared" si="11"/>
        <v>    2025年春节慰问经费</v>
      </c>
      <c r="B70" s="124" t="s">
        <v>414</v>
      </c>
      <c r="C70" s="124" t="s">
        <v>472</v>
      </c>
      <c r="D70" s="124" t="s">
        <v>473</v>
      </c>
      <c r="E70" s="121" t="s">
        <v>521</v>
      </c>
      <c r="F70" s="124" t="s">
        <v>461</v>
      </c>
      <c r="G70" s="121" t="s">
        <v>462</v>
      </c>
      <c r="H70" s="124" t="s">
        <v>463</v>
      </c>
      <c r="I70" s="124" t="s">
        <v>464</v>
      </c>
      <c r="J70" s="121" t="s">
        <v>522</v>
      </c>
    </row>
    <row r="71" ht="18.75" customHeight="1" spans="1:10">
      <c r="A71" s="121" t="str">
        <f t="shared" si="11"/>
        <v>    2025年春节慰问经费</v>
      </c>
      <c r="B71" s="124" t="s">
        <v>414</v>
      </c>
      <c r="C71" s="124" t="s">
        <v>476</v>
      </c>
      <c r="D71" s="124" t="s">
        <v>477</v>
      </c>
      <c r="E71" s="121" t="s">
        <v>494</v>
      </c>
      <c r="F71" s="124" t="s">
        <v>461</v>
      </c>
      <c r="G71" s="121" t="s">
        <v>462</v>
      </c>
      <c r="H71" s="124" t="s">
        <v>463</v>
      </c>
      <c r="I71" s="124" t="s">
        <v>464</v>
      </c>
      <c r="J71" s="121" t="s">
        <v>495</v>
      </c>
    </row>
    <row r="72" ht="18.75" customHeight="1" spans="1:10">
      <c r="A72" s="121" t="str">
        <f t="shared" ref="A72:A76" si="12">"    "&amp;"四排山乡排污沟渠建设项目资金"</f>
        <v>    四排山乡排污沟渠建设项目资金</v>
      </c>
      <c r="B72" s="124" t="s">
        <v>543</v>
      </c>
      <c r="C72" s="124" t="s">
        <v>458</v>
      </c>
      <c r="D72" s="124" t="s">
        <v>459</v>
      </c>
      <c r="E72" s="121" t="s">
        <v>460</v>
      </c>
      <c r="F72" s="124" t="s">
        <v>461</v>
      </c>
      <c r="G72" s="121" t="s">
        <v>462</v>
      </c>
      <c r="H72" s="124" t="s">
        <v>463</v>
      </c>
      <c r="I72" s="124" t="s">
        <v>484</v>
      </c>
      <c r="J72" s="121" t="s">
        <v>465</v>
      </c>
    </row>
    <row r="73" ht="18.75" customHeight="1" spans="1:10">
      <c r="A73" s="121" t="str">
        <f t="shared" si="12"/>
        <v>    四排山乡排污沟渠建设项目资金</v>
      </c>
      <c r="B73" s="124" t="s">
        <v>543</v>
      </c>
      <c r="C73" s="124" t="s">
        <v>458</v>
      </c>
      <c r="D73" s="124" t="s">
        <v>466</v>
      </c>
      <c r="E73" s="121" t="s">
        <v>467</v>
      </c>
      <c r="F73" s="124" t="s">
        <v>461</v>
      </c>
      <c r="G73" s="121" t="s">
        <v>462</v>
      </c>
      <c r="H73" s="124" t="s">
        <v>463</v>
      </c>
      <c r="I73" s="124" t="s">
        <v>464</v>
      </c>
      <c r="J73" s="121" t="s">
        <v>468</v>
      </c>
    </row>
    <row r="74" ht="18.75" customHeight="1" spans="1:10">
      <c r="A74" s="121" t="str">
        <f t="shared" si="12"/>
        <v>    四排山乡排污沟渠建设项目资金</v>
      </c>
      <c r="B74" s="124" t="s">
        <v>543</v>
      </c>
      <c r="C74" s="124" t="s">
        <v>458</v>
      </c>
      <c r="D74" s="124" t="s">
        <v>469</v>
      </c>
      <c r="E74" s="121" t="s">
        <v>470</v>
      </c>
      <c r="F74" s="124" t="s">
        <v>461</v>
      </c>
      <c r="G74" s="121" t="s">
        <v>462</v>
      </c>
      <c r="H74" s="124" t="s">
        <v>463</v>
      </c>
      <c r="I74" s="124" t="s">
        <v>464</v>
      </c>
      <c r="J74" s="121" t="s">
        <v>471</v>
      </c>
    </row>
    <row r="75" ht="18.75" customHeight="1" spans="1:10">
      <c r="A75" s="121" t="str">
        <f t="shared" si="12"/>
        <v>    四排山乡排污沟渠建设项目资金</v>
      </c>
      <c r="B75" s="124" t="s">
        <v>543</v>
      </c>
      <c r="C75" s="124" t="s">
        <v>472</v>
      </c>
      <c r="D75" s="124" t="s">
        <v>473</v>
      </c>
      <c r="E75" s="121" t="s">
        <v>474</v>
      </c>
      <c r="F75" s="124" t="s">
        <v>461</v>
      </c>
      <c r="G75" s="121" t="s">
        <v>462</v>
      </c>
      <c r="H75" s="124" t="s">
        <v>463</v>
      </c>
      <c r="I75" s="124" t="s">
        <v>464</v>
      </c>
      <c r="J75" s="121" t="s">
        <v>475</v>
      </c>
    </row>
    <row r="76" ht="18.75" customHeight="1" spans="1:10">
      <c r="A76" s="121" t="str">
        <f t="shared" si="12"/>
        <v>    四排山乡排污沟渠建设项目资金</v>
      </c>
      <c r="B76" s="124" t="s">
        <v>543</v>
      </c>
      <c r="C76" s="124" t="s">
        <v>476</v>
      </c>
      <c r="D76" s="124" t="s">
        <v>477</v>
      </c>
      <c r="E76" s="121" t="s">
        <v>478</v>
      </c>
      <c r="F76" s="124" t="s">
        <v>461</v>
      </c>
      <c r="G76" s="121" t="s">
        <v>462</v>
      </c>
      <c r="H76" s="124" t="s">
        <v>463</v>
      </c>
      <c r="I76" s="124" t="s">
        <v>464</v>
      </c>
      <c r="J76" s="121" t="s">
        <v>479</v>
      </c>
    </row>
    <row r="77" ht="18.75" customHeight="1" spans="1:10">
      <c r="A77" s="121" t="str">
        <f t="shared" ref="A77:A81" si="13">"    "&amp;"乡镇人大主席团工作经费"</f>
        <v>    乡镇人大主席团工作经费</v>
      </c>
      <c r="B77" s="124" t="s">
        <v>544</v>
      </c>
      <c r="C77" s="124" t="s">
        <v>458</v>
      </c>
      <c r="D77" s="124" t="s">
        <v>459</v>
      </c>
      <c r="E77" s="121" t="s">
        <v>502</v>
      </c>
      <c r="F77" s="124" t="s">
        <v>461</v>
      </c>
      <c r="G77" s="121" t="s">
        <v>503</v>
      </c>
      <c r="H77" s="124" t="s">
        <v>504</v>
      </c>
      <c r="I77" s="124" t="s">
        <v>484</v>
      </c>
      <c r="J77" s="121" t="s">
        <v>505</v>
      </c>
    </row>
    <row r="78" ht="18.75" customHeight="1" spans="1:10">
      <c r="A78" s="121" t="str">
        <f t="shared" si="13"/>
        <v>    乡镇人大主席团工作经费</v>
      </c>
      <c r="B78" s="124" t="s">
        <v>544</v>
      </c>
      <c r="C78" s="124" t="s">
        <v>458</v>
      </c>
      <c r="D78" s="124" t="s">
        <v>466</v>
      </c>
      <c r="E78" s="121" t="s">
        <v>529</v>
      </c>
      <c r="F78" s="124" t="s">
        <v>525</v>
      </c>
      <c r="G78" s="121" t="s">
        <v>462</v>
      </c>
      <c r="H78" s="124" t="s">
        <v>463</v>
      </c>
      <c r="I78" s="124" t="s">
        <v>464</v>
      </c>
      <c r="J78" s="121" t="s">
        <v>530</v>
      </c>
    </row>
    <row r="79" ht="18.75" customHeight="1" spans="1:10">
      <c r="A79" s="121" t="str">
        <f t="shared" si="13"/>
        <v>    乡镇人大主席团工作经费</v>
      </c>
      <c r="B79" s="124" t="s">
        <v>544</v>
      </c>
      <c r="C79" s="124" t="s">
        <v>458</v>
      </c>
      <c r="D79" s="124" t="s">
        <v>469</v>
      </c>
      <c r="E79" s="121" t="s">
        <v>531</v>
      </c>
      <c r="F79" s="124" t="s">
        <v>525</v>
      </c>
      <c r="G79" s="121" t="s">
        <v>462</v>
      </c>
      <c r="H79" s="124" t="s">
        <v>463</v>
      </c>
      <c r="I79" s="124" t="s">
        <v>464</v>
      </c>
      <c r="J79" s="121" t="s">
        <v>532</v>
      </c>
    </row>
    <row r="80" ht="18.75" customHeight="1" spans="1:10">
      <c r="A80" s="121" t="str">
        <f t="shared" si="13"/>
        <v>    乡镇人大主席团工作经费</v>
      </c>
      <c r="B80" s="124" t="s">
        <v>544</v>
      </c>
      <c r="C80" s="124" t="s">
        <v>472</v>
      </c>
      <c r="D80" s="124" t="s">
        <v>473</v>
      </c>
      <c r="E80" s="121" t="s">
        <v>521</v>
      </c>
      <c r="F80" s="124" t="s">
        <v>461</v>
      </c>
      <c r="G80" s="121" t="s">
        <v>462</v>
      </c>
      <c r="H80" s="124" t="s">
        <v>463</v>
      </c>
      <c r="I80" s="124" t="s">
        <v>464</v>
      </c>
      <c r="J80" s="121" t="s">
        <v>522</v>
      </c>
    </row>
    <row r="81" ht="18.75" customHeight="1" spans="1:10">
      <c r="A81" s="121" t="str">
        <f t="shared" si="13"/>
        <v>    乡镇人大主席团工作经费</v>
      </c>
      <c r="B81" s="124" t="s">
        <v>544</v>
      </c>
      <c r="C81" s="124" t="s">
        <v>476</v>
      </c>
      <c r="D81" s="124" t="s">
        <v>477</v>
      </c>
      <c r="E81" s="121" t="s">
        <v>494</v>
      </c>
      <c r="F81" s="124" t="s">
        <v>461</v>
      </c>
      <c r="G81" s="121" t="s">
        <v>462</v>
      </c>
      <c r="H81" s="124" t="s">
        <v>463</v>
      </c>
      <c r="I81" s="124" t="s">
        <v>464</v>
      </c>
      <c r="J81" s="121" t="s">
        <v>495</v>
      </c>
    </row>
  </sheetData>
  <mergeCells count="30">
    <mergeCell ref="A2:J2"/>
    <mergeCell ref="A3:H3"/>
    <mergeCell ref="A8:A12"/>
    <mergeCell ref="A13:A18"/>
    <mergeCell ref="A19:A25"/>
    <mergeCell ref="A26:A30"/>
    <mergeCell ref="A31:A37"/>
    <mergeCell ref="A38:A41"/>
    <mergeCell ref="A42:A46"/>
    <mergeCell ref="A47:A51"/>
    <mergeCell ref="A52:A56"/>
    <mergeCell ref="A57:A60"/>
    <mergeCell ref="A61:A66"/>
    <mergeCell ref="A67:A71"/>
    <mergeCell ref="A72:A76"/>
    <mergeCell ref="A77:A81"/>
    <mergeCell ref="B8:B12"/>
    <mergeCell ref="B13:B18"/>
    <mergeCell ref="B19:B25"/>
    <mergeCell ref="B26:B30"/>
    <mergeCell ref="B31:B37"/>
    <mergeCell ref="B38:B41"/>
    <mergeCell ref="B42:B46"/>
    <mergeCell ref="B47:B51"/>
    <mergeCell ref="B52:B56"/>
    <mergeCell ref="B57:B60"/>
    <mergeCell ref="B61:B66"/>
    <mergeCell ref="B67:B71"/>
    <mergeCell ref="B72:B76"/>
    <mergeCell ref="B77:B81"/>
  </mergeCell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F9"/>
  <sheetViews>
    <sheetView showZeros="0" workbookViewId="0">
      <selection activeCell="A1" sqref="A1"/>
    </sheetView>
  </sheetViews>
  <sheetFormatPr defaultColWidth="9.14285714285714" defaultRowHeight="14.25" customHeight="1" outlineLevelCol="5"/>
  <cols>
    <col min="1" max="1" width="32.1428571428571" customWidth="1"/>
    <col min="2" max="2" width="16.847619047619" customWidth="1"/>
    <col min="3" max="3" width="53.5714285714286" customWidth="1"/>
    <col min="4" max="6" width="28.5714285714286" customWidth="1"/>
  </cols>
  <sheetData>
    <row r="1" ht="15.75" customHeight="1" spans="1:6">
      <c r="A1" s="100">
        <v>1</v>
      </c>
      <c r="B1" s="101">
        <v>0</v>
      </c>
      <c r="C1" s="100">
        <v>1</v>
      </c>
      <c r="D1" s="102"/>
      <c r="E1" s="102"/>
      <c r="F1" s="34" t="s">
        <v>545</v>
      </c>
    </row>
    <row r="2" ht="36.75" customHeight="1" spans="1:6">
      <c r="A2" s="103" t="str">
        <f>"2025"&amp;"年部门政府性基金预算支出预算表"</f>
        <v>2025年部门政府性基金预算支出预算表</v>
      </c>
      <c r="B2" s="104" t="s">
        <v>546</v>
      </c>
      <c r="C2" s="105"/>
      <c r="D2" s="106"/>
      <c r="E2" s="106"/>
      <c r="F2" s="106"/>
    </row>
    <row r="3" ht="18.75" customHeight="1" spans="1:6">
      <c r="A3" s="6" t="str">
        <f>"单位名称："&amp;"耿马傣族佤族自治县四排山乡"</f>
        <v>单位名称：耿马傣族佤族自治县四排山乡</v>
      </c>
      <c r="B3" s="6" t="s">
        <v>547</v>
      </c>
      <c r="C3" s="100"/>
      <c r="D3" s="102"/>
      <c r="E3" s="102"/>
      <c r="F3" s="34" t="s">
        <v>1</v>
      </c>
    </row>
    <row r="4" ht="18.75" customHeight="1" spans="1:6">
      <c r="A4" s="107" t="s">
        <v>274</v>
      </c>
      <c r="B4" s="108" t="s">
        <v>72</v>
      </c>
      <c r="C4" s="109" t="s">
        <v>73</v>
      </c>
      <c r="D4" s="12" t="s">
        <v>548</v>
      </c>
      <c r="E4" s="12"/>
      <c r="F4" s="13"/>
    </row>
    <row r="5" ht="18.75" customHeight="1" spans="1:6">
      <c r="A5" s="110"/>
      <c r="B5" s="111"/>
      <c r="C5" s="112"/>
      <c r="D5" s="93" t="s">
        <v>55</v>
      </c>
      <c r="E5" s="93" t="s">
        <v>74</v>
      </c>
      <c r="F5" s="93" t="s">
        <v>75</v>
      </c>
    </row>
    <row r="6" ht="18.75" customHeight="1" spans="1:6">
      <c r="A6" s="113">
        <v>1</v>
      </c>
      <c r="B6" s="114" t="s">
        <v>145</v>
      </c>
      <c r="C6" s="115">
        <v>3</v>
      </c>
      <c r="D6" s="116">
        <v>4</v>
      </c>
      <c r="E6" s="116">
        <v>5</v>
      </c>
      <c r="F6" s="116">
        <v>6</v>
      </c>
    </row>
    <row r="7" ht="18.75" customHeight="1" spans="1:6">
      <c r="A7" s="117"/>
      <c r="B7" s="81"/>
      <c r="C7" s="81"/>
      <c r="D7" s="23"/>
      <c r="E7" s="23"/>
      <c r="F7" s="23"/>
    </row>
    <row r="8" ht="18.75" customHeight="1" spans="1:6">
      <c r="A8" s="117"/>
      <c r="B8" s="81"/>
      <c r="C8" s="81"/>
      <c r="D8" s="23"/>
      <c r="E8" s="23"/>
      <c r="F8" s="23"/>
    </row>
    <row r="9" ht="18.75" customHeight="1" spans="1:6">
      <c r="A9" s="118" t="s">
        <v>55</v>
      </c>
      <c r="B9" s="119"/>
      <c r="C9" s="26"/>
      <c r="D9" s="23"/>
      <c r="E9" s="23"/>
      <c r="F9" s="23"/>
    </row>
  </sheetData>
  <mergeCells count="7">
    <mergeCell ref="A2:F2"/>
    <mergeCell ref="A3:C3"/>
    <mergeCell ref="D4:F4"/>
    <mergeCell ref="A9:C9"/>
    <mergeCell ref="A4:A5"/>
    <mergeCell ref="B4:B5"/>
    <mergeCell ref="C4:C5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Q10"/>
  <sheetViews>
    <sheetView showZeros="0" topLeftCell="D1" workbookViewId="0">
      <selection activeCell="A1" sqref="A1"/>
    </sheetView>
  </sheetViews>
  <sheetFormatPr defaultColWidth="9.14285714285714" defaultRowHeight="14.25" customHeight="1"/>
  <cols>
    <col min="1" max="1" width="39.1428571428571" customWidth="1"/>
    <col min="2" max="2" width="21.7142857142857" customWidth="1"/>
    <col min="3" max="3" width="35.2857142857143" customWidth="1"/>
    <col min="4" max="4" width="7.71428571428571" customWidth="1"/>
    <col min="5" max="5" width="10.2857142857143" customWidth="1"/>
    <col min="6" max="17" width="16.5714285714286" customWidth="1"/>
  </cols>
  <sheetData>
    <row r="1" ht="15.75" customHeight="1" spans="1:17">
      <c r="A1" s="2"/>
      <c r="B1" s="2"/>
      <c r="C1" s="2"/>
      <c r="D1" s="2"/>
      <c r="E1" s="2"/>
      <c r="F1" s="2"/>
      <c r="G1" s="2"/>
      <c r="H1" s="2"/>
      <c r="I1" s="2"/>
      <c r="J1" s="2"/>
      <c r="O1" s="33"/>
      <c r="P1" s="33"/>
      <c r="Q1" s="34" t="s">
        <v>549</v>
      </c>
    </row>
    <row r="2" ht="35.25" customHeight="1" spans="1:17">
      <c r="A2" s="35" t="str">
        <f>"2025"&amp;"年部门政府采购预算表"</f>
        <v>2025年部门政府采购预算表</v>
      </c>
      <c r="B2" s="5"/>
      <c r="C2" s="5"/>
      <c r="D2" s="5"/>
      <c r="E2" s="5"/>
      <c r="F2" s="5"/>
      <c r="G2" s="5"/>
      <c r="H2" s="5"/>
      <c r="I2" s="5"/>
      <c r="J2" s="5"/>
      <c r="K2" s="68"/>
      <c r="L2" s="5"/>
      <c r="M2" s="5"/>
      <c r="N2" s="5"/>
      <c r="O2" s="68"/>
      <c r="P2" s="68"/>
      <c r="Q2" s="5"/>
    </row>
    <row r="3" ht="18.75" customHeight="1" spans="1:17">
      <c r="A3" s="36" t="str">
        <f>"单位名称："&amp;"耿马傣族佤族自治县四排山乡"</f>
        <v>单位名称：耿马傣族佤族自治县四排山乡</v>
      </c>
      <c r="B3" s="8"/>
      <c r="C3" s="8"/>
      <c r="D3" s="8"/>
      <c r="E3" s="8"/>
      <c r="F3" s="8"/>
      <c r="G3" s="8"/>
      <c r="H3" s="8"/>
      <c r="I3" s="8"/>
      <c r="J3" s="8"/>
      <c r="O3" s="86"/>
      <c r="P3" s="86"/>
      <c r="Q3" s="34" t="s">
        <v>263</v>
      </c>
    </row>
    <row r="4" ht="18.75" customHeight="1" spans="1:17">
      <c r="A4" s="10" t="s">
        <v>550</v>
      </c>
      <c r="B4" s="71" t="s">
        <v>551</v>
      </c>
      <c r="C4" s="71" t="s">
        <v>552</v>
      </c>
      <c r="D4" s="71" t="s">
        <v>553</v>
      </c>
      <c r="E4" s="71" t="s">
        <v>554</v>
      </c>
      <c r="F4" s="71" t="s">
        <v>555</v>
      </c>
      <c r="G4" s="40" t="s">
        <v>281</v>
      </c>
      <c r="H4" s="40"/>
      <c r="I4" s="40"/>
      <c r="J4" s="40"/>
      <c r="K4" s="73"/>
      <c r="L4" s="40"/>
      <c r="M4" s="40"/>
      <c r="N4" s="40"/>
      <c r="O4" s="88"/>
      <c r="P4" s="73"/>
      <c r="Q4" s="41"/>
    </row>
    <row r="5" ht="18.75" customHeight="1" spans="1:17">
      <c r="A5" s="15"/>
      <c r="B5" s="74"/>
      <c r="C5" s="74"/>
      <c r="D5" s="74"/>
      <c r="E5" s="74"/>
      <c r="F5" s="74"/>
      <c r="G5" s="74" t="s">
        <v>55</v>
      </c>
      <c r="H5" s="74" t="s">
        <v>58</v>
      </c>
      <c r="I5" s="74" t="s">
        <v>556</v>
      </c>
      <c r="J5" s="74" t="s">
        <v>557</v>
      </c>
      <c r="K5" s="96" t="s">
        <v>558</v>
      </c>
      <c r="L5" s="89" t="s">
        <v>77</v>
      </c>
      <c r="M5" s="89"/>
      <c r="N5" s="89"/>
      <c r="O5" s="97"/>
      <c r="P5" s="98"/>
      <c r="Q5" s="76"/>
    </row>
    <row r="6" ht="27" customHeight="1" spans="1:17">
      <c r="A6" s="17"/>
      <c r="B6" s="76"/>
      <c r="C6" s="76"/>
      <c r="D6" s="76"/>
      <c r="E6" s="76"/>
      <c r="F6" s="76"/>
      <c r="G6" s="76"/>
      <c r="H6" s="76" t="s">
        <v>57</v>
      </c>
      <c r="I6" s="76"/>
      <c r="J6" s="76"/>
      <c r="K6" s="77"/>
      <c r="L6" s="76" t="s">
        <v>57</v>
      </c>
      <c r="M6" s="76" t="s">
        <v>64</v>
      </c>
      <c r="N6" s="76" t="s">
        <v>289</v>
      </c>
      <c r="O6" s="92" t="s">
        <v>66</v>
      </c>
      <c r="P6" s="77" t="s">
        <v>67</v>
      </c>
      <c r="Q6" s="76" t="s">
        <v>68</v>
      </c>
    </row>
    <row r="7" ht="18.75" customHeight="1" spans="1:17">
      <c r="A7" s="29">
        <v>1</v>
      </c>
      <c r="B7" s="93">
        <v>2</v>
      </c>
      <c r="C7" s="93">
        <v>3</v>
      </c>
      <c r="D7" s="29">
        <v>4</v>
      </c>
      <c r="E7" s="93">
        <v>5</v>
      </c>
      <c r="F7" s="93">
        <v>6</v>
      </c>
      <c r="G7" s="29">
        <v>7</v>
      </c>
      <c r="H7" s="93">
        <v>8</v>
      </c>
      <c r="I7" s="93">
        <v>9</v>
      </c>
      <c r="J7" s="29">
        <v>10</v>
      </c>
      <c r="K7" s="93">
        <v>11</v>
      </c>
      <c r="L7" s="93">
        <v>12</v>
      </c>
      <c r="M7" s="29">
        <v>13</v>
      </c>
      <c r="N7" s="93">
        <v>14</v>
      </c>
      <c r="O7" s="93">
        <v>15</v>
      </c>
      <c r="P7" s="29">
        <v>16</v>
      </c>
      <c r="Q7" s="93">
        <v>17</v>
      </c>
    </row>
    <row r="8" ht="18.75" customHeight="1" spans="1:17">
      <c r="A8" s="79"/>
      <c r="B8" s="80"/>
      <c r="C8" s="80"/>
      <c r="D8" s="80"/>
      <c r="E8" s="94"/>
      <c r="F8" s="95"/>
      <c r="G8" s="95"/>
      <c r="H8" s="95"/>
      <c r="I8" s="95"/>
      <c r="J8" s="95"/>
      <c r="K8" s="95"/>
      <c r="L8" s="95"/>
      <c r="M8" s="95"/>
      <c r="N8" s="95"/>
      <c r="O8" s="99"/>
      <c r="P8" s="95"/>
      <c r="Q8" s="95"/>
    </row>
    <row r="9" ht="18.75" customHeight="1" spans="1:17">
      <c r="A9" s="79"/>
      <c r="B9" s="80"/>
      <c r="C9" s="80"/>
      <c r="D9" s="80"/>
      <c r="E9" s="94"/>
      <c r="F9" s="95"/>
      <c r="G9" s="95"/>
      <c r="H9" s="95"/>
      <c r="I9" s="95"/>
      <c r="J9" s="95"/>
      <c r="K9" s="95"/>
      <c r="L9" s="95"/>
      <c r="M9" s="95"/>
      <c r="N9" s="95"/>
      <c r="O9" s="99"/>
      <c r="P9" s="95"/>
      <c r="Q9" s="95"/>
    </row>
    <row r="10" ht="18.75" customHeight="1" spans="1:17">
      <c r="A10" s="82" t="s">
        <v>55</v>
      </c>
      <c r="B10" s="26"/>
      <c r="C10" s="26"/>
      <c r="D10" s="26"/>
      <c r="E10" s="26"/>
      <c r="F10" s="95"/>
      <c r="G10" s="95"/>
      <c r="H10" s="95"/>
      <c r="I10" s="95"/>
      <c r="J10" s="95"/>
      <c r="K10" s="95"/>
      <c r="L10" s="95"/>
      <c r="M10" s="95"/>
      <c r="N10" s="95"/>
      <c r="O10" s="99"/>
      <c r="P10" s="95"/>
      <c r="Q10" s="95"/>
    </row>
  </sheetData>
  <mergeCells count="16">
    <mergeCell ref="A2:Q2"/>
    <mergeCell ref="A3:F3"/>
    <mergeCell ref="G4:Q4"/>
    <mergeCell ref="L5:Q5"/>
    <mergeCell ref="A10:E10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N10"/>
  <sheetViews>
    <sheetView showZeros="0" topLeftCell="B1" workbookViewId="0">
      <selection activeCell="A1" sqref="A1"/>
    </sheetView>
  </sheetViews>
  <sheetFormatPr defaultColWidth="9.14285714285714" defaultRowHeight="14.25" customHeight="1"/>
  <cols>
    <col min="1" max="1" width="31.4190476190476" customWidth="1"/>
    <col min="2" max="3" width="21.847619047619" customWidth="1"/>
    <col min="4" max="14" width="19" customWidth="1"/>
  </cols>
  <sheetData>
    <row r="1" ht="13.5" customHeight="1" spans="1:14">
      <c r="A1" s="64"/>
      <c r="B1" s="64"/>
      <c r="C1" s="65"/>
      <c r="D1" s="64"/>
      <c r="E1" s="64"/>
      <c r="F1" s="64"/>
      <c r="G1" s="64"/>
      <c r="H1" s="66"/>
      <c r="I1" s="59"/>
      <c r="J1" s="59"/>
      <c r="K1" s="59"/>
      <c r="L1" s="33"/>
      <c r="M1" s="84"/>
      <c r="N1" s="85" t="s">
        <v>559</v>
      </c>
    </row>
    <row r="2" ht="34.5" customHeight="1" spans="1:14">
      <c r="A2" s="35" t="str">
        <f>"2025"&amp;"年部门政府购买服务预算表"</f>
        <v>2025年部门政府购买服务预算表</v>
      </c>
      <c r="B2" s="67"/>
      <c r="C2" s="68"/>
      <c r="D2" s="67"/>
      <c r="E2" s="67"/>
      <c r="F2" s="67"/>
      <c r="G2" s="67"/>
      <c r="H2" s="69"/>
      <c r="I2" s="67"/>
      <c r="J2" s="67"/>
      <c r="K2" s="67"/>
      <c r="L2" s="68"/>
      <c r="M2" s="69"/>
      <c r="N2" s="67"/>
    </row>
    <row r="3" ht="18.75" customHeight="1" spans="1:14">
      <c r="A3" s="56" t="str">
        <f>"单位名称："&amp;"耿马傣族佤族自治县四排山乡"</f>
        <v>单位名称：耿马傣族佤族自治县四排山乡</v>
      </c>
      <c r="B3" s="57"/>
      <c r="C3" s="70"/>
      <c r="D3" s="57"/>
      <c r="E3" s="57"/>
      <c r="F3" s="57"/>
      <c r="G3" s="57"/>
      <c r="H3" s="66"/>
      <c r="I3" s="59"/>
      <c r="J3" s="59"/>
      <c r="K3" s="59"/>
      <c r="L3" s="86"/>
      <c r="M3" s="87"/>
      <c r="N3" s="85" t="s">
        <v>263</v>
      </c>
    </row>
    <row r="4" ht="18.75" customHeight="1" spans="1:14">
      <c r="A4" s="10" t="s">
        <v>550</v>
      </c>
      <c r="B4" s="71" t="s">
        <v>560</v>
      </c>
      <c r="C4" s="72" t="s">
        <v>561</v>
      </c>
      <c r="D4" s="40" t="s">
        <v>281</v>
      </c>
      <c r="E4" s="40"/>
      <c r="F4" s="40"/>
      <c r="G4" s="40"/>
      <c r="H4" s="73"/>
      <c r="I4" s="40"/>
      <c r="J4" s="40"/>
      <c r="K4" s="40"/>
      <c r="L4" s="88"/>
      <c r="M4" s="73"/>
      <c r="N4" s="41"/>
    </row>
    <row r="5" ht="18.75" customHeight="1" spans="1:14">
      <c r="A5" s="15"/>
      <c r="B5" s="74"/>
      <c r="C5" s="75"/>
      <c r="D5" s="74" t="s">
        <v>55</v>
      </c>
      <c r="E5" s="74" t="s">
        <v>58</v>
      </c>
      <c r="F5" s="74" t="s">
        <v>562</v>
      </c>
      <c r="G5" s="74" t="s">
        <v>557</v>
      </c>
      <c r="H5" s="75" t="s">
        <v>558</v>
      </c>
      <c r="I5" s="89" t="s">
        <v>77</v>
      </c>
      <c r="J5" s="89"/>
      <c r="K5" s="89"/>
      <c r="L5" s="90"/>
      <c r="M5" s="91"/>
      <c r="N5" s="76"/>
    </row>
    <row r="6" ht="27" customHeight="1" spans="1:14">
      <c r="A6" s="17"/>
      <c r="B6" s="76"/>
      <c r="C6" s="77"/>
      <c r="D6" s="76"/>
      <c r="E6" s="76"/>
      <c r="F6" s="76"/>
      <c r="G6" s="76"/>
      <c r="H6" s="77"/>
      <c r="I6" s="76" t="s">
        <v>57</v>
      </c>
      <c r="J6" s="76" t="s">
        <v>64</v>
      </c>
      <c r="K6" s="76" t="s">
        <v>289</v>
      </c>
      <c r="L6" s="92" t="s">
        <v>66</v>
      </c>
      <c r="M6" s="77" t="s">
        <v>67</v>
      </c>
      <c r="N6" s="76" t="s">
        <v>68</v>
      </c>
    </row>
    <row r="7" ht="18.75" customHeight="1" spans="1:14">
      <c r="A7" s="78">
        <v>1</v>
      </c>
      <c r="B7" s="78">
        <v>2</v>
      </c>
      <c r="C7" s="78">
        <v>3</v>
      </c>
      <c r="D7" s="78">
        <v>4</v>
      </c>
      <c r="E7" s="78">
        <v>5</v>
      </c>
      <c r="F7" s="78">
        <v>6</v>
      </c>
      <c r="G7" s="78">
        <v>7</v>
      </c>
      <c r="H7" s="78">
        <v>8</v>
      </c>
      <c r="I7" s="78">
        <v>9</v>
      </c>
      <c r="J7" s="78">
        <v>10</v>
      </c>
      <c r="K7" s="78">
        <v>11</v>
      </c>
      <c r="L7" s="78">
        <v>12</v>
      </c>
      <c r="M7" s="78">
        <v>13</v>
      </c>
      <c r="N7" s="78">
        <v>14</v>
      </c>
    </row>
    <row r="8" ht="18.75" customHeight="1" spans="1:14">
      <c r="A8" s="79"/>
      <c r="B8" s="80"/>
      <c r="C8" s="81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</row>
    <row r="9" ht="18.75" customHeight="1" spans="1:14">
      <c r="A9" s="79"/>
      <c r="B9" s="80"/>
      <c r="C9" s="81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</row>
    <row r="10" ht="18.75" customHeight="1" spans="1:14">
      <c r="A10" s="82" t="s">
        <v>55</v>
      </c>
      <c r="B10" s="26"/>
      <c r="C10" s="8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</row>
  </sheetData>
  <mergeCells count="13">
    <mergeCell ref="A2:N2"/>
    <mergeCell ref="A3:C3"/>
    <mergeCell ref="D4:N4"/>
    <mergeCell ref="I5:N5"/>
    <mergeCell ref="A10:C10"/>
    <mergeCell ref="A4:A6"/>
    <mergeCell ref="B4:B6"/>
    <mergeCell ref="C4:C6"/>
    <mergeCell ref="D5:D6"/>
    <mergeCell ref="E5:E6"/>
    <mergeCell ref="F5:F6"/>
    <mergeCell ref="G5:G6"/>
    <mergeCell ref="H5:H6"/>
  </mergeCell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6"/>
  <sheetViews>
    <sheetView showZeros="0" workbookViewId="0">
      <selection activeCell="A1" sqref="A1"/>
    </sheetView>
  </sheetViews>
  <sheetFormatPr defaultColWidth="9.14285714285714" defaultRowHeight="14.25" customHeight="1" outlineLevelRow="5" outlineLevelCol="7"/>
  <cols>
    <col min="1" max="1" width="37.7142857142857" customWidth="1"/>
    <col min="2" max="4" width="22.847619047619" customWidth="1"/>
    <col min="5" max="8" width="20.847619047619" customWidth="1"/>
  </cols>
  <sheetData>
    <row r="1" ht="13.5" customHeight="1" spans="1:8">
      <c r="A1" s="2"/>
      <c r="B1" s="2"/>
      <c r="C1" s="2"/>
      <c r="D1" s="54"/>
      <c r="H1" s="33" t="s">
        <v>563</v>
      </c>
    </row>
    <row r="2" ht="27.75" customHeight="1" spans="1:8">
      <c r="A2" s="55" t="str">
        <f>"2025"&amp;"年县对下转移支付预算表"</f>
        <v>2025年县对下转移支付预算表</v>
      </c>
      <c r="B2" s="5"/>
      <c r="C2" s="5"/>
      <c r="D2" s="5"/>
      <c r="E2" s="5"/>
      <c r="F2" s="5"/>
      <c r="G2" s="5"/>
      <c r="H2" s="5"/>
    </row>
    <row r="3" ht="18.75" customHeight="1" spans="1:8">
      <c r="A3" s="56" t="str">
        <f>"单位名称："&amp;"耿马傣族佤族自治县四排山乡"</f>
        <v>单位名称：耿马傣族佤族自治县四排山乡</v>
      </c>
      <c r="B3" s="57"/>
      <c r="C3" s="57"/>
      <c r="D3" s="58"/>
      <c r="E3" s="59"/>
      <c r="F3" s="59"/>
      <c r="G3" s="59"/>
      <c r="H3" s="33" t="s">
        <v>263</v>
      </c>
    </row>
    <row r="4" ht="18.75" customHeight="1" spans="1:8">
      <c r="A4" s="27" t="s">
        <v>564</v>
      </c>
      <c r="B4" s="11" t="s">
        <v>281</v>
      </c>
      <c r="C4" s="12"/>
      <c r="D4" s="12"/>
      <c r="E4" s="11" t="s">
        <v>565</v>
      </c>
      <c r="F4" s="12"/>
      <c r="G4" s="12"/>
      <c r="H4" s="13"/>
    </row>
    <row r="5" ht="18.75" customHeight="1" spans="1:8">
      <c r="A5" s="29"/>
      <c r="B5" s="28" t="s">
        <v>55</v>
      </c>
      <c r="C5" s="10" t="s">
        <v>58</v>
      </c>
      <c r="D5" s="60" t="s">
        <v>562</v>
      </c>
      <c r="E5" s="61" t="s">
        <v>566</v>
      </c>
      <c r="F5" s="61" t="s">
        <v>566</v>
      </c>
      <c r="G5" s="61" t="s">
        <v>566</v>
      </c>
      <c r="H5" s="62" t="s">
        <v>566</v>
      </c>
    </row>
    <row r="6" ht="18.75" customHeight="1" spans="1:8">
      <c r="A6" s="61">
        <v>1</v>
      </c>
      <c r="B6" s="61">
        <v>2</v>
      </c>
      <c r="C6" s="61">
        <v>3</v>
      </c>
      <c r="D6" s="63">
        <v>4</v>
      </c>
      <c r="E6" s="61">
        <v>5</v>
      </c>
      <c r="F6" s="61">
        <v>6</v>
      </c>
      <c r="G6" s="61">
        <v>7</v>
      </c>
      <c r="H6" s="61">
        <v>8</v>
      </c>
    </row>
  </sheetData>
  <mergeCells count="5">
    <mergeCell ref="A2:H2"/>
    <mergeCell ref="A3:G3"/>
    <mergeCell ref="B4:D4"/>
    <mergeCell ref="E4:H4"/>
    <mergeCell ref="A4:A5"/>
  </mergeCell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J5"/>
  <sheetViews>
    <sheetView showZeros="0" workbookViewId="0">
      <selection activeCell="A1" sqref="A1"/>
    </sheetView>
  </sheetViews>
  <sheetFormatPr defaultColWidth="9.14285714285714" defaultRowHeight="12" customHeight="1" outlineLevelRow="4"/>
  <cols>
    <col min="1" max="1" width="34.2857142857143" customWidth="1"/>
    <col min="2" max="2" width="29" customWidth="1"/>
    <col min="3" max="5" width="23.5714285714286" customWidth="1"/>
    <col min="6" max="6" width="11.2857142857143" customWidth="1"/>
    <col min="7" max="7" width="25.1428571428571" customWidth="1"/>
    <col min="8" max="8" width="15.5714285714286" customWidth="1"/>
    <col min="9" max="9" width="13.4190476190476" customWidth="1"/>
    <col min="10" max="10" width="18.847619047619" customWidth="1"/>
  </cols>
  <sheetData>
    <row r="1" ht="19.5" customHeight="1" spans="10:10">
      <c r="J1" s="33" t="s">
        <v>567</v>
      </c>
    </row>
    <row r="2" ht="36" customHeight="1" spans="1:10">
      <c r="A2" s="4" t="str">
        <f>"2025"&amp;"年县对下转移支付绩效目标表"</f>
        <v>2025年县对下转移支付绩效目标表</v>
      </c>
      <c r="B2" s="5"/>
      <c r="C2" s="5"/>
      <c r="D2" s="5"/>
      <c r="E2" s="5"/>
      <c r="F2" s="49"/>
      <c r="G2" s="5"/>
      <c r="H2" s="49"/>
      <c r="I2" s="49"/>
      <c r="J2" s="5"/>
    </row>
    <row r="3" ht="18.75" customHeight="1" spans="1:8">
      <c r="A3" s="50" t="str">
        <f>"单位名称："&amp;"耿马傣族佤族自治县四排山乡"</f>
        <v>单位名称：耿马傣族佤族自治县四排山乡</v>
      </c>
      <c r="B3" s="51"/>
      <c r="C3" s="51"/>
      <c r="D3" s="51"/>
      <c r="E3" s="51"/>
      <c r="F3" s="52"/>
      <c r="G3" s="51"/>
      <c r="H3" s="52"/>
    </row>
    <row r="4" ht="18.75" customHeight="1" spans="1:10">
      <c r="A4" s="42" t="s">
        <v>447</v>
      </c>
      <c r="B4" s="42" t="s">
        <v>448</v>
      </c>
      <c r="C4" s="42" t="s">
        <v>449</v>
      </c>
      <c r="D4" s="42" t="s">
        <v>450</v>
      </c>
      <c r="E4" s="42" t="s">
        <v>451</v>
      </c>
      <c r="F4" s="53" t="s">
        <v>452</v>
      </c>
      <c r="G4" s="42" t="s">
        <v>453</v>
      </c>
      <c r="H4" s="53" t="s">
        <v>454</v>
      </c>
      <c r="I4" s="53" t="s">
        <v>455</v>
      </c>
      <c r="J4" s="42" t="s">
        <v>456</v>
      </c>
    </row>
    <row r="5" ht="18.75" customHeight="1" spans="1:10">
      <c r="A5" s="42">
        <v>1</v>
      </c>
      <c r="B5" s="42">
        <v>2</v>
      </c>
      <c r="C5" s="42">
        <v>3</v>
      </c>
      <c r="D5" s="42">
        <v>4</v>
      </c>
      <c r="E5" s="42">
        <v>5</v>
      </c>
      <c r="F5" s="53">
        <v>6</v>
      </c>
      <c r="G5" s="42">
        <v>7</v>
      </c>
      <c r="H5" s="53">
        <v>8</v>
      </c>
      <c r="I5" s="53">
        <v>9</v>
      </c>
      <c r="J5" s="42">
        <v>10</v>
      </c>
    </row>
  </sheetData>
  <mergeCells count="2">
    <mergeCell ref="A2:J2"/>
    <mergeCell ref="A3:H3"/>
  </mergeCell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8"/>
  <sheetViews>
    <sheetView showZeros="0" workbookViewId="0">
      <selection activeCell="A1" sqref="A1"/>
    </sheetView>
  </sheetViews>
  <sheetFormatPr defaultColWidth="9.14285714285714" defaultRowHeight="12" customHeight="1" outlineLevelRow="7" outlineLevelCol="7"/>
  <cols>
    <col min="1" max="1" width="29" customWidth="1"/>
    <col min="2" max="2" width="18.7142857142857" customWidth="1"/>
    <col min="3" max="3" width="24.847619047619" customWidth="1"/>
    <col min="4" max="4" width="23.5714285714286" customWidth="1"/>
    <col min="5" max="5" width="17.847619047619" customWidth="1"/>
    <col min="6" max="6" width="23.5714285714286" customWidth="1"/>
    <col min="7" max="7" width="25.1428571428571" customWidth="1"/>
    <col min="8" max="8" width="18.847619047619" customWidth="1"/>
  </cols>
  <sheetData>
    <row r="1" ht="14.25" customHeight="1" spans="8:8">
      <c r="H1" s="34" t="s">
        <v>568</v>
      </c>
    </row>
    <row r="2" ht="34.5" customHeight="1" spans="1:8">
      <c r="A2" s="35" t="str">
        <f>"2025"&amp;"年新增资产配置表"</f>
        <v>2025年新增资产配置表</v>
      </c>
      <c r="B2" s="5"/>
      <c r="C2" s="5"/>
      <c r="D2" s="5"/>
      <c r="E2" s="5"/>
      <c r="F2" s="5"/>
      <c r="G2" s="5"/>
      <c r="H2" s="5"/>
    </row>
    <row r="3" ht="18.75" customHeight="1" spans="1:8">
      <c r="A3" s="36" t="str">
        <f>"单位名称："&amp;"耿马傣族佤族自治县四排山乡"</f>
        <v>单位名称：耿马傣族佤族自治县四排山乡</v>
      </c>
      <c r="B3" s="7"/>
      <c r="C3" s="37"/>
      <c r="H3" s="38" t="s">
        <v>263</v>
      </c>
    </row>
    <row r="4" ht="18.75" customHeight="1" spans="1:8">
      <c r="A4" s="10" t="s">
        <v>274</v>
      </c>
      <c r="B4" s="10" t="s">
        <v>569</v>
      </c>
      <c r="C4" s="10" t="s">
        <v>570</v>
      </c>
      <c r="D4" s="10" t="s">
        <v>571</v>
      </c>
      <c r="E4" s="10" t="s">
        <v>572</v>
      </c>
      <c r="F4" s="39" t="s">
        <v>573</v>
      </c>
      <c r="G4" s="40"/>
      <c r="H4" s="41"/>
    </row>
    <row r="5" ht="18.75" customHeight="1" spans="1:8">
      <c r="A5" s="17"/>
      <c r="B5" s="17"/>
      <c r="C5" s="17"/>
      <c r="D5" s="17"/>
      <c r="E5" s="17"/>
      <c r="F5" s="42" t="s">
        <v>554</v>
      </c>
      <c r="G5" s="42" t="s">
        <v>574</v>
      </c>
      <c r="H5" s="42" t="s">
        <v>575</v>
      </c>
    </row>
    <row r="6" ht="18.75" customHeight="1" spans="1:8">
      <c r="A6" s="43">
        <v>1</v>
      </c>
      <c r="B6" s="43">
        <v>2</v>
      </c>
      <c r="C6" s="43">
        <v>3</v>
      </c>
      <c r="D6" s="43">
        <v>4</v>
      </c>
      <c r="E6" s="43">
        <v>5</v>
      </c>
      <c r="F6" s="43">
        <v>6</v>
      </c>
      <c r="G6" s="44">
        <v>7</v>
      </c>
      <c r="H6" s="43">
        <v>8</v>
      </c>
    </row>
    <row r="7" ht="18.75" customHeight="1" spans="1:8">
      <c r="A7" s="45"/>
      <c r="B7" s="45"/>
      <c r="C7" s="45"/>
      <c r="D7" s="45"/>
      <c r="E7" s="45"/>
      <c r="F7" s="46"/>
      <c r="G7" s="23"/>
      <c r="H7" s="23"/>
    </row>
    <row r="8" ht="18.75" customHeight="1" spans="1:8">
      <c r="A8" s="47" t="s">
        <v>55</v>
      </c>
      <c r="B8" s="48"/>
      <c r="C8" s="48"/>
      <c r="D8" s="48"/>
      <c r="E8" s="48"/>
      <c r="F8" s="46"/>
      <c r="G8" s="23"/>
      <c r="H8" s="23"/>
    </row>
  </sheetData>
  <mergeCells count="9">
    <mergeCell ref="A2:H2"/>
    <mergeCell ref="A3:C3"/>
    <mergeCell ref="F4:H4"/>
    <mergeCell ref="A8:E8"/>
    <mergeCell ref="A4:A5"/>
    <mergeCell ref="B4:B5"/>
    <mergeCell ref="C4:C5"/>
    <mergeCell ref="D4:D5"/>
    <mergeCell ref="E4:E5"/>
  </mergeCells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K10"/>
  <sheetViews>
    <sheetView showZeros="0" workbookViewId="0">
      <selection activeCell="A1" sqref="A1"/>
    </sheetView>
  </sheetViews>
  <sheetFormatPr defaultColWidth="9.14285714285714" defaultRowHeight="14.25" customHeight="1"/>
  <cols>
    <col min="1" max="1" width="13.4190476190476" customWidth="1"/>
    <col min="2" max="2" width="41.0095238095238" customWidth="1"/>
    <col min="3" max="3" width="23.847619047619" customWidth="1"/>
    <col min="4" max="4" width="11.1428571428571" customWidth="1"/>
    <col min="5" max="5" width="33.4380952380952" customWidth="1"/>
    <col min="6" max="6" width="9.84761904761905" customWidth="1"/>
    <col min="7" max="7" width="17.7142857142857" customWidth="1"/>
    <col min="8" max="11" width="23.0095238095238" customWidth="1"/>
  </cols>
  <sheetData>
    <row r="1" ht="19.5" customHeight="1" spans="4:11">
      <c r="D1" s="1"/>
      <c r="E1" s="1"/>
      <c r="F1" s="1"/>
      <c r="G1" s="1"/>
      <c r="H1" s="2"/>
      <c r="I1" s="2"/>
      <c r="J1" s="2"/>
      <c r="K1" s="33" t="s">
        <v>576</v>
      </c>
    </row>
    <row r="2" ht="42.75" customHeight="1" spans="1:11">
      <c r="A2" s="4" t="str">
        <f>"2025"&amp;"年转移支付补助项目支出预算表"</f>
        <v>2025年转移支付补助项目支出预算表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ht="18.75" customHeight="1" spans="1:11">
      <c r="A3" s="6" t="str">
        <f>"单位名称："&amp;"耿马傣族佤族自治县四排山乡"</f>
        <v>单位名称：耿马傣族佤族自治县四排山乡</v>
      </c>
      <c r="B3" s="7"/>
      <c r="C3" s="7"/>
      <c r="D3" s="7"/>
      <c r="E3" s="7"/>
      <c r="F3" s="7"/>
      <c r="G3" s="7"/>
      <c r="H3" s="8"/>
      <c r="I3" s="8"/>
      <c r="J3" s="8"/>
      <c r="K3" s="3" t="s">
        <v>263</v>
      </c>
    </row>
    <row r="4" ht="18.75" customHeight="1" spans="1:11">
      <c r="A4" s="9" t="s">
        <v>408</v>
      </c>
      <c r="B4" s="9" t="s">
        <v>276</v>
      </c>
      <c r="C4" s="9" t="s">
        <v>409</v>
      </c>
      <c r="D4" s="10" t="s">
        <v>277</v>
      </c>
      <c r="E4" s="10" t="s">
        <v>278</v>
      </c>
      <c r="F4" s="10" t="s">
        <v>410</v>
      </c>
      <c r="G4" s="10" t="s">
        <v>411</v>
      </c>
      <c r="H4" s="27" t="s">
        <v>55</v>
      </c>
      <c r="I4" s="11" t="s">
        <v>577</v>
      </c>
      <c r="J4" s="12"/>
      <c r="K4" s="13"/>
    </row>
    <row r="5" ht="18.75" customHeight="1" spans="1:11">
      <c r="A5" s="14"/>
      <c r="B5" s="14"/>
      <c r="C5" s="14"/>
      <c r="D5" s="15"/>
      <c r="E5" s="15"/>
      <c r="F5" s="15"/>
      <c r="G5" s="15"/>
      <c r="H5" s="28"/>
      <c r="I5" s="10" t="s">
        <v>58</v>
      </c>
      <c r="J5" s="10" t="s">
        <v>59</v>
      </c>
      <c r="K5" s="10" t="s">
        <v>60</v>
      </c>
    </row>
    <row r="6" ht="18.75" customHeight="1" spans="1:11">
      <c r="A6" s="16"/>
      <c r="B6" s="16"/>
      <c r="C6" s="16"/>
      <c r="D6" s="17"/>
      <c r="E6" s="17"/>
      <c r="F6" s="17"/>
      <c r="G6" s="17"/>
      <c r="H6" s="29"/>
      <c r="I6" s="17" t="s">
        <v>57</v>
      </c>
      <c r="J6" s="17"/>
      <c r="K6" s="17"/>
    </row>
    <row r="7" ht="18.75" customHeight="1" spans="1:11">
      <c r="A7" s="18">
        <v>1</v>
      </c>
      <c r="B7" s="18">
        <v>2</v>
      </c>
      <c r="C7" s="18">
        <v>3</v>
      </c>
      <c r="D7" s="18">
        <v>4</v>
      </c>
      <c r="E7" s="18">
        <v>5</v>
      </c>
      <c r="F7" s="18">
        <v>6</v>
      </c>
      <c r="G7" s="18">
        <v>7</v>
      </c>
      <c r="H7" s="18">
        <v>8</v>
      </c>
      <c r="I7" s="18">
        <v>9</v>
      </c>
      <c r="J7" s="19">
        <v>10</v>
      </c>
      <c r="K7" s="19">
        <v>11</v>
      </c>
    </row>
    <row r="8" ht="18.75" customHeight="1" spans="1:11">
      <c r="A8" s="30"/>
      <c r="B8" s="20"/>
      <c r="C8" s="30"/>
      <c r="D8" s="30"/>
      <c r="E8" s="30"/>
      <c r="F8" s="30"/>
      <c r="G8" s="30"/>
      <c r="H8" s="31"/>
      <c r="I8" s="31"/>
      <c r="J8" s="31"/>
      <c r="K8" s="23"/>
    </row>
    <row r="9" ht="18.75" customHeight="1" spans="1:11">
      <c r="A9" s="20"/>
      <c r="B9" s="20"/>
      <c r="C9" s="20"/>
      <c r="D9" s="20"/>
      <c r="E9" s="20"/>
      <c r="F9" s="20"/>
      <c r="G9" s="20"/>
      <c r="H9" s="23"/>
      <c r="I9" s="23"/>
      <c r="J9" s="23"/>
      <c r="K9" s="23"/>
    </row>
    <row r="10" ht="18.75" customHeight="1" spans="1:11">
      <c r="A10" s="32" t="s">
        <v>55</v>
      </c>
      <c r="B10" s="32"/>
      <c r="C10" s="32"/>
      <c r="D10" s="32"/>
      <c r="E10" s="32"/>
      <c r="F10" s="32"/>
      <c r="G10" s="32"/>
      <c r="H10" s="31"/>
      <c r="I10" s="31"/>
      <c r="J10" s="31"/>
      <c r="K10" s="23"/>
    </row>
  </sheetData>
  <mergeCells count="15">
    <mergeCell ref="A2:K2"/>
    <mergeCell ref="A3:G3"/>
    <mergeCell ref="I4:K4"/>
    <mergeCell ref="A10:G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ageMargins left="0.75" right="0.75" top="1" bottom="1" header="0.5" footer="0.5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G24"/>
  <sheetViews>
    <sheetView showZeros="0" workbookViewId="0">
      <selection activeCell="A1" sqref="A1"/>
    </sheetView>
  </sheetViews>
  <sheetFormatPr defaultColWidth="9.14285714285714" defaultRowHeight="14.25" customHeight="1" outlineLevelCol="6"/>
  <cols>
    <col min="1" max="1" width="29.4190476190476" customWidth="1"/>
    <col min="2" max="2" width="23.1428571428571" customWidth="1"/>
    <col min="3" max="3" width="31.5714285714286" customWidth="1"/>
    <col min="4" max="4" width="16.3047619047619" customWidth="1"/>
    <col min="5" max="7" width="23.847619047619" customWidth="1"/>
  </cols>
  <sheetData>
    <row r="1" ht="18.75" customHeight="1" spans="4:7">
      <c r="D1" s="1"/>
      <c r="E1" s="2"/>
      <c r="F1" s="2"/>
      <c r="G1" s="3" t="s">
        <v>578</v>
      </c>
    </row>
    <row r="2" ht="36.75" customHeight="1" spans="1:7">
      <c r="A2" s="4" t="str">
        <f>"2025"&amp;"年部门项目中期规划预算表"</f>
        <v>2025年部门项目中期规划预算表</v>
      </c>
      <c r="B2" s="5"/>
      <c r="C2" s="5"/>
      <c r="D2" s="5"/>
      <c r="E2" s="5"/>
      <c r="F2" s="5"/>
      <c r="G2" s="5"/>
    </row>
    <row r="3" ht="18.75" customHeight="1" spans="1:7">
      <c r="A3" s="6" t="str">
        <f>"单位名称："&amp;"耿马傣族佤族自治县四排山乡"</f>
        <v>单位名称：耿马傣族佤族自治县四排山乡</v>
      </c>
      <c r="B3" s="7"/>
      <c r="C3" s="7"/>
      <c r="D3" s="7"/>
      <c r="E3" s="8"/>
      <c r="F3" s="8"/>
      <c r="G3" s="3" t="s">
        <v>263</v>
      </c>
    </row>
    <row r="4" ht="18.75" customHeight="1" spans="1:7">
      <c r="A4" s="9" t="s">
        <v>409</v>
      </c>
      <c r="B4" s="9" t="s">
        <v>408</v>
      </c>
      <c r="C4" s="9" t="s">
        <v>276</v>
      </c>
      <c r="D4" s="10" t="s">
        <v>579</v>
      </c>
      <c r="E4" s="11" t="s">
        <v>58</v>
      </c>
      <c r="F4" s="12"/>
      <c r="G4" s="13"/>
    </row>
    <row r="5" ht="18.75" customHeight="1" spans="1:7">
      <c r="A5" s="14"/>
      <c r="B5" s="14"/>
      <c r="C5" s="14"/>
      <c r="D5" s="15"/>
      <c r="E5" s="9" t="str">
        <f>"2025"&amp;"年"</f>
        <v>2025年</v>
      </c>
      <c r="F5" s="9" t="str">
        <f>"2025"+1&amp;"年"</f>
        <v>2026年</v>
      </c>
      <c r="G5" s="9" t="str">
        <f>"2025"+2&amp;"年"</f>
        <v>2027年</v>
      </c>
    </row>
    <row r="6" ht="18.75" customHeight="1" spans="1:7">
      <c r="A6" s="16"/>
      <c r="B6" s="16"/>
      <c r="C6" s="16"/>
      <c r="D6" s="17"/>
      <c r="E6" s="16" t="s">
        <v>57</v>
      </c>
      <c r="F6" s="16"/>
      <c r="G6" s="16"/>
    </row>
    <row r="7" ht="18.75" customHeight="1" spans="1:7">
      <c r="A7" s="18">
        <v>1</v>
      </c>
      <c r="B7" s="18">
        <v>2</v>
      </c>
      <c r="C7" s="18">
        <v>3</v>
      </c>
      <c r="D7" s="18">
        <v>4</v>
      </c>
      <c r="E7" s="18">
        <v>5</v>
      </c>
      <c r="F7" s="18">
        <v>6</v>
      </c>
      <c r="G7" s="19">
        <v>7</v>
      </c>
    </row>
    <row r="8" ht="18.75" customHeight="1" spans="1:7">
      <c r="A8" s="20" t="s">
        <v>291</v>
      </c>
      <c r="B8" s="21"/>
      <c r="C8" s="21"/>
      <c r="D8" s="22"/>
      <c r="E8" s="23">
        <v>624000</v>
      </c>
      <c r="F8" s="23"/>
      <c r="G8" s="23"/>
    </row>
    <row r="9" ht="18.75" customHeight="1" spans="1:7">
      <c r="A9" s="24" t="s">
        <v>70</v>
      </c>
      <c r="B9" s="20"/>
      <c r="C9" s="20"/>
      <c r="D9" s="22"/>
      <c r="E9" s="23">
        <v>624000</v>
      </c>
      <c r="F9" s="23"/>
      <c r="G9" s="23"/>
    </row>
    <row r="10" ht="18.75" customHeight="1" spans="1:7">
      <c r="A10" s="25"/>
      <c r="B10" s="20" t="s">
        <v>580</v>
      </c>
      <c r="C10" s="20" t="s">
        <v>420</v>
      </c>
      <c r="D10" s="22" t="s">
        <v>581</v>
      </c>
      <c r="E10" s="23">
        <v>10000</v>
      </c>
      <c r="F10" s="23"/>
      <c r="G10" s="23"/>
    </row>
    <row r="11" ht="18.75" customHeight="1" spans="1:7">
      <c r="A11" s="25"/>
      <c r="B11" s="20" t="s">
        <v>580</v>
      </c>
      <c r="C11" s="20" t="s">
        <v>444</v>
      </c>
      <c r="D11" s="22" t="s">
        <v>581</v>
      </c>
      <c r="E11" s="23">
        <v>20000</v>
      </c>
      <c r="F11" s="23"/>
      <c r="G11" s="23"/>
    </row>
    <row r="12" ht="18.75" customHeight="1" spans="1:7">
      <c r="A12" s="25"/>
      <c r="B12" s="20" t="s">
        <v>580</v>
      </c>
      <c r="C12" s="20" t="s">
        <v>426</v>
      </c>
      <c r="D12" s="22" t="s">
        <v>581</v>
      </c>
      <c r="E12" s="23">
        <v>30000</v>
      </c>
      <c r="F12" s="23"/>
      <c r="G12" s="23"/>
    </row>
    <row r="13" ht="18.75" customHeight="1" spans="1:7">
      <c r="A13" s="25"/>
      <c r="B13" s="20" t="s">
        <v>580</v>
      </c>
      <c r="C13" s="20" t="s">
        <v>438</v>
      </c>
      <c r="D13" s="22" t="s">
        <v>581</v>
      </c>
      <c r="E13" s="23">
        <v>70000</v>
      </c>
      <c r="F13" s="23"/>
      <c r="G13" s="23"/>
    </row>
    <row r="14" ht="18.75" customHeight="1" spans="1:7">
      <c r="A14" s="25"/>
      <c r="B14" s="20" t="s">
        <v>580</v>
      </c>
      <c r="C14" s="20" t="s">
        <v>440</v>
      </c>
      <c r="D14" s="22" t="s">
        <v>581</v>
      </c>
      <c r="E14" s="23">
        <v>50000</v>
      </c>
      <c r="F14" s="23"/>
      <c r="G14" s="23"/>
    </row>
    <row r="15" ht="18.75" customHeight="1" spans="1:7">
      <c r="A15" s="25"/>
      <c r="B15" s="20" t="s">
        <v>580</v>
      </c>
      <c r="C15" s="20" t="s">
        <v>424</v>
      </c>
      <c r="D15" s="22" t="s">
        <v>581</v>
      </c>
      <c r="E15" s="23">
        <v>50000</v>
      </c>
      <c r="F15" s="23"/>
      <c r="G15" s="23"/>
    </row>
    <row r="16" ht="18.75" customHeight="1" spans="1:7">
      <c r="A16" s="25"/>
      <c r="B16" s="20" t="s">
        <v>580</v>
      </c>
      <c r="C16" s="20" t="s">
        <v>442</v>
      </c>
      <c r="D16" s="22" t="s">
        <v>581</v>
      </c>
      <c r="E16" s="23">
        <v>150000</v>
      </c>
      <c r="F16" s="23"/>
      <c r="G16" s="23"/>
    </row>
    <row r="17" ht="18.75" customHeight="1" spans="1:7">
      <c r="A17" s="25"/>
      <c r="B17" s="20" t="s">
        <v>580</v>
      </c>
      <c r="C17" s="20" t="s">
        <v>432</v>
      </c>
      <c r="D17" s="22" t="s">
        <v>581</v>
      </c>
      <c r="E17" s="23">
        <v>157000</v>
      </c>
      <c r="F17" s="23"/>
      <c r="G17" s="23"/>
    </row>
    <row r="18" ht="18.75" customHeight="1" spans="1:7">
      <c r="A18" s="25"/>
      <c r="B18" s="20" t="s">
        <v>580</v>
      </c>
      <c r="C18" s="20" t="s">
        <v>436</v>
      </c>
      <c r="D18" s="22" t="s">
        <v>581</v>
      </c>
      <c r="E18" s="23">
        <v>15000</v>
      </c>
      <c r="F18" s="23"/>
      <c r="G18" s="23"/>
    </row>
    <row r="19" ht="18.75" customHeight="1" spans="1:7">
      <c r="A19" s="25"/>
      <c r="B19" s="20" t="s">
        <v>580</v>
      </c>
      <c r="C19" s="20" t="s">
        <v>428</v>
      </c>
      <c r="D19" s="22" t="s">
        <v>581</v>
      </c>
      <c r="E19" s="23">
        <v>20000</v>
      </c>
      <c r="F19" s="23"/>
      <c r="G19" s="23"/>
    </row>
    <row r="20" ht="18.75" customHeight="1" spans="1:7">
      <c r="A20" s="25"/>
      <c r="B20" s="20" t="s">
        <v>580</v>
      </c>
      <c r="C20" s="20" t="s">
        <v>434</v>
      </c>
      <c r="D20" s="22" t="s">
        <v>581</v>
      </c>
      <c r="E20" s="23">
        <v>15000</v>
      </c>
      <c r="F20" s="23"/>
      <c r="G20" s="23"/>
    </row>
    <row r="21" ht="18.75" customHeight="1" spans="1:7">
      <c r="A21" s="25"/>
      <c r="B21" s="20" t="s">
        <v>580</v>
      </c>
      <c r="C21" s="20" t="s">
        <v>414</v>
      </c>
      <c r="D21" s="22" t="s">
        <v>581</v>
      </c>
      <c r="E21" s="23">
        <v>24000</v>
      </c>
      <c r="F21" s="23"/>
      <c r="G21" s="23"/>
    </row>
    <row r="22" ht="18.75" customHeight="1" spans="1:7">
      <c r="A22" s="25"/>
      <c r="B22" s="20" t="s">
        <v>582</v>
      </c>
      <c r="C22" s="20" t="s">
        <v>422</v>
      </c>
      <c r="D22" s="22" t="s">
        <v>581</v>
      </c>
      <c r="E22" s="23">
        <v>10000</v>
      </c>
      <c r="F22" s="23"/>
      <c r="G22" s="23"/>
    </row>
    <row r="23" ht="18.75" customHeight="1" spans="1:7">
      <c r="A23" s="25"/>
      <c r="B23" s="20" t="s">
        <v>582</v>
      </c>
      <c r="C23" s="20" t="s">
        <v>417</v>
      </c>
      <c r="D23" s="22" t="s">
        <v>581</v>
      </c>
      <c r="E23" s="23">
        <v>3000</v>
      </c>
      <c r="F23" s="23"/>
      <c r="G23" s="23"/>
    </row>
    <row r="24" ht="18.75" customHeight="1" spans="1:7">
      <c r="A24" s="22" t="s">
        <v>55</v>
      </c>
      <c r="B24" s="26"/>
      <c r="C24" s="26"/>
      <c r="D24" s="26"/>
      <c r="E24" s="23">
        <v>624000</v>
      </c>
      <c r="F24" s="23"/>
      <c r="G24" s="23"/>
    </row>
  </sheetData>
  <mergeCells count="11">
    <mergeCell ref="A2:G2"/>
    <mergeCell ref="A3:D3"/>
    <mergeCell ref="E4:G4"/>
    <mergeCell ref="A24:D24"/>
    <mergeCell ref="A4:A6"/>
    <mergeCell ref="B4:B6"/>
    <mergeCell ref="C4:C6"/>
    <mergeCell ref="D4:D6"/>
    <mergeCell ref="E5:E6"/>
    <mergeCell ref="F5:F6"/>
    <mergeCell ref="G5:G6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县对下转移支付预算表09-1</vt:lpstr>
      <vt:lpstr>县对下转移支付绩效目标表09-2</vt:lpstr>
      <vt:lpstr>新增资产配置表10</vt:lpstr>
      <vt:lpstr>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酸梅子</cp:lastModifiedBy>
  <dcterms:created xsi:type="dcterms:W3CDTF">2025-02-09T06:06:00Z</dcterms:created>
  <dcterms:modified xsi:type="dcterms:W3CDTF">2025-02-11T08:17:23Z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4DDD661E7A20482688448C63FC59EA73_13</vt:lpwstr>
  </property>
  <property fmtid="{D5CDD505-2E9C-101B-9397-08002B2CF9AE}" pid="3" name="KSOProductBuildVer">
    <vt:lpwstr>2052-12.1.0.19770</vt:lpwstr>
  </property>
</Properties>
</file>