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/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r:id="rId1" name="部门财务收支预算总表01-1" sheetId="1"/>
    <sheet r:id="rId2" name="部门收入预算表01-2" sheetId="2"/>
    <sheet r:id="rId3" name="部门支出预算表01-3" sheetId="3"/>
    <sheet r:id="rId4" name="部门财政拨款收支预算总表02-1" sheetId="4"/>
    <sheet r:id="rId5" name="一般公共预算支出预算表02-2" sheetId="5"/>
    <sheet r:id="rId6" name="一般公共预算“三公”经费支出预算表03" sheetId="6"/>
    <sheet r:id="rId7" name="部门基本支出预算表04" sheetId="7"/>
    <sheet r:id="rId8" name="部门项目支出预算表05-1" sheetId="8"/>
    <sheet r:id="rId9" name="部门项目支出绩效目标表05-2" sheetId="9"/>
    <sheet r:id="rId10" name="部门政府性基金预算支出预算表06" sheetId="10"/>
    <sheet r:id="rId11" name="部门政府采购预算表07" sheetId="11"/>
    <sheet r:id="rId12" name="部门政府购买服务预算表08" sheetId="12"/>
    <sheet r:id="rId13" name="县对下转移支付预算表09-1" sheetId="13"/>
    <sheet r:id="rId14" name="县对下转移支付绩效目标表09-2" sheetId="14"/>
    <sheet r:id="rId15" name="新增资产配置表10" sheetId="15"/>
    <sheet r:id="rId16" name="转移支付补助项目支出预算表11" sheetId="16"/>
    <sheet r:id="rId17" name="部门项目中期规划预算表12" sheetId="17"/>
  </sheets>
  <calcPr calcId="0" iterateCount="100" iterateDelta="0.001"/>
</workbook>
</file>

<file path=xl/sharedStrings.xml><?xml version="1.0" encoding="utf-8"?>
<sst xmlns="http://schemas.openxmlformats.org/spreadsheetml/2006/main" count="768" uniqueCount="768">
  <si>
    <t>预算01-1表</t>
  </si>
  <si>
    <t>2025年部门财务收支预算总表</t>
  </si>
  <si>
    <t>单位名称：耿马傣族佤族自治县勐永镇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</si>
  <si>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</si>
  <si>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</si>
  <si>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</si>
  <si>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</si>
  <si>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</si>
  <si>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</si>
  <si>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</si>
  <si>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</si>
  <si>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</si>
  <si>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</si>
  <si>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</si>
  <si>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</si>
  <si>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</si>
  <si>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</si>
  <si>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</si>
  <si>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</si>
  <si>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</si>
  <si>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</si>
  <si>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</si>
  <si>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</si>
  <si>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</si>
  <si>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</si>
  <si>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</si>
  <si>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</si>
  <si>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</si>
  <si>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</si>
  <si>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</si>
  <si>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</si>
  <si>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</si>
  <si>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</si>
  <si>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</si>
  <si>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</si>
  <si>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</si>
  <si>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</si>
  <si>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</si>
  <si>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</si>
  <si>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</si>
  <si>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</si>
  <si>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</si>
  <si>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</si>
  <si>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</si>
  <si>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</si>
  <si>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</si>
  <si>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</si>
  <si>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</si>
  <si>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</si>
  <si>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</si>
  <si>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</si>
  <si>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</si>
  <si>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</si>
  <si>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</si>
  <si>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</si>
  <si>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</si>
  <si>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</si>
  <si>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</si>
  <si>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</si>
  <si>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</si>
  <si>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</si>
  <si>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</si>
  <si>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</si>
  <si>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</si>
  <si>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</si>
  <si>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</si>
  <si>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</si>
  <si>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</si>
  <si>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</si>
  <si>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</si>
  <si>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</si>
  <si>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</si>
  <si>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</si>
  <si>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571002</t>
  </si>
  <si>
    <t>勐永镇人民政府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</si>
  <si>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</si>
  <si>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</si>
  <si>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</si>
  <si>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</si>
  <si>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</si>
  <si>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</si>
  <si>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</si>
  <si>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</si>
  <si>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</si>
  <si>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</si>
  <si>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</si>
  <si>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</si>
  <si>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</si>
  <si>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</si>
  <si>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</si>
  <si>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 xml:space="preserve"> 20101</t>
  </si>
  <si>
    <t xml:space="preserve">  人大事务</t>
  </si>
  <si>
    <t xml:space="preserve">  2010101</t>
  </si>
  <si>
    <t xml:space="preserve">    行政运行</t>
  </si>
  <si>
    <t xml:space="preserve">  2010102</t>
  </si>
  <si>
    <t xml:space="preserve">    一般行政管理事务</t>
  </si>
  <si>
    <t xml:space="preserve"> 20103</t>
  </si>
  <si>
    <t xml:space="preserve">  政府办公厅（室）及相关机构事务</t>
  </si>
  <si>
    <t xml:space="preserve">  2010301</t>
  </si>
  <si>
    <t xml:space="preserve">  2010302</t>
  </si>
  <si>
    <t xml:space="preserve">  2010399</t>
  </si>
  <si>
    <t xml:space="preserve">    其他政府办公厅（室）及相关机构事务支出</t>
  </si>
  <si>
    <t xml:space="preserve"> 20104</t>
  </si>
  <si>
    <t xml:space="preserve">  发展与改革事务</t>
  </si>
  <si>
    <t xml:space="preserve">  2010406</t>
  </si>
  <si>
    <t xml:space="preserve">    社会事业发展规划</t>
  </si>
  <si>
    <t xml:space="preserve"> 20105</t>
  </si>
  <si>
    <t xml:space="preserve">  统计信息事务</t>
  </si>
  <si>
    <t xml:space="preserve">  2010508</t>
  </si>
  <si>
    <t xml:space="preserve">    统计抽样调查</t>
  </si>
  <si>
    <t xml:space="preserve"> 20111</t>
  </si>
  <si>
    <t xml:space="preserve">  纪检监察事务</t>
  </si>
  <si>
    <t xml:space="preserve">  2011101</t>
  </si>
  <si>
    <t xml:space="preserve"> 20131</t>
  </si>
  <si>
    <t xml:space="preserve">  党委办公厅（室）及相关机构事务</t>
  </si>
  <si>
    <t xml:space="preserve">  2013101</t>
  </si>
  <si>
    <t xml:space="preserve"> 20136</t>
  </si>
  <si>
    <t xml:space="preserve">  其他共产党事务支出</t>
  </si>
  <si>
    <t xml:space="preserve">  2013650</t>
  </si>
  <si>
    <t xml:space="preserve">    事业运行</t>
  </si>
  <si>
    <t xml:space="preserve"> 20138</t>
  </si>
  <si>
    <t xml:space="preserve">  市场监督管理事务</t>
  </si>
  <si>
    <t xml:space="preserve">  2013899</t>
  </si>
  <si>
    <t xml:space="preserve">    其他市场监督管理事务</t>
  </si>
  <si>
    <t xml:space="preserve"> 20139</t>
  </si>
  <si>
    <t xml:space="preserve">  社会工作事务</t>
  </si>
  <si>
    <t xml:space="preserve">  2013901</t>
  </si>
  <si>
    <t>204</t>
  </si>
  <si>
    <t>公共安全支出</t>
  </si>
  <si>
    <t xml:space="preserve"> 20402</t>
  </si>
  <si>
    <t xml:space="preserve">  公安</t>
  </si>
  <si>
    <t xml:space="preserve">  2040299</t>
  </si>
  <si>
    <t xml:space="preserve">    其他公安支出</t>
  </si>
  <si>
    <t>207</t>
  </si>
  <si>
    <t>文化旅游体育与传媒支出</t>
  </si>
  <si>
    <t xml:space="preserve"> 20701</t>
  </si>
  <si>
    <t xml:space="preserve">  文化和旅游</t>
  </si>
  <si>
    <t xml:space="preserve">  2070199</t>
  </si>
  <si>
    <t xml:space="preserve">    其他文化和旅游支出</t>
  </si>
  <si>
    <t>208</t>
  </si>
  <si>
    <t>社会保障和就业支出</t>
  </si>
  <si>
    <t xml:space="preserve"> 20801</t>
  </si>
  <si>
    <t xml:space="preserve">  人力资源和社会保障管理事务</t>
  </si>
  <si>
    <t xml:space="preserve">  2080199</t>
  </si>
  <si>
    <t xml:space="preserve">    其他人力资源和社会保障管理事务支出</t>
  </si>
  <si>
    <t xml:space="preserve"> 20805</t>
  </si>
  <si>
    <t xml:space="preserve">  行政事业单位养老支出</t>
  </si>
  <si>
    <t xml:space="preserve">  2080501</t>
  </si>
  <si>
    <t xml:space="preserve">    行政单位离退休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</si>
  <si>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</si>
  <si>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</si>
  <si>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</si>
  <si>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</si>
  <si>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20808</t>
  </si>
  <si>
    <t xml:space="preserve">  抚恤</t>
  </si>
  <si>
    <t xml:space="preserve">  2080801</t>
  </si>
  <si>
    <t xml:space="preserve">    死亡抚恤</t>
  </si>
  <si>
    <t xml:space="preserve"> 20811</t>
  </si>
  <si>
    <t xml:space="preserve">  残疾人事业</t>
  </si>
  <si>
    <t xml:space="preserve">  2081199</t>
  </si>
  <si>
    <t xml:space="preserve">    其他残疾人事业支出</t>
  </si>
  <si>
    <t xml:space="preserve"> 20825</t>
  </si>
  <si>
    <t xml:space="preserve">  其他生活救助</t>
  </si>
  <si>
    <t xml:space="preserve">  2082502</t>
  </si>
  <si>
    <t xml:space="preserve">    其他农村生活救助</t>
  </si>
  <si>
    <t>210</t>
  </si>
  <si>
    <t>卫生健康支出</t>
  </si>
  <si>
    <t xml:space="preserve"> 21007</t>
  </si>
  <si>
    <t xml:space="preserve">  计划生育事务</t>
  </si>
  <si>
    <t xml:space="preserve">  2100799</t>
  </si>
  <si>
    <t xml:space="preserve">    其他计划生育事务支出</t>
  </si>
  <si>
    <t xml:space="preserve"> 21011</t>
  </si>
  <si>
    <t xml:space="preserve">  行政事业单位医疗</t>
  </si>
  <si>
    <t xml:space="preserve">  2101101</t>
  </si>
  <si>
    <t xml:space="preserve">    行政单位医疗</t>
  </si>
  <si>
    <t xml:space="preserve">  2101102</t>
  </si>
  <si>
    <t xml:space="preserve">    事业单位医疗</t>
  </si>
  <si>
    <t xml:space="preserve">  2101103</t>
  </si>
  <si>
    <t xml:space="preserve">    公务员医疗补助</t>
  </si>
  <si>
    <t xml:space="preserve">  2101199</t>
  </si>
  <si>
    <t xml:space="preserve">    其他行政事业单位医疗支出</t>
  </si>
  <si>
    <t>211</t>
  </si>
  <si>
    <t>节能环保支出</t>
  </si>
  <si>
    <t xml:space="preserve"> 21104</t>
  </si>
  <si>
    <t xml:space="preserve">  自然生态保护</t>
  </si>
  <si>
    <t xml:space="preserve">  2110402</t>
  </si>
  <si>
    <t xml:space="preserve">    农村环境保护</t>
  </si>
  <si>
    <t>212</t>
  </si>
  <si>
    <t>城乡社区支出</t>
  </si>
  <si>
    <t xml:space="preserve"> 21201</t>
  </si>
  <si>
    <t xml:space="preserve">  城乡社区管理事务</t>
  </si>
  <si>
    <t xml:space="preserve">  2120104</t>
  </si>
  <si>
    <t xml:space="preserve">    城管执法</t>
  </si>
  <si>
    <t xml:space="preserve"> 21202</t>
  </si>
  <si>
    <t xml:space="preserve">  城乡社区规划与管理</t>
  </si>
  <si>
    <t xml:space="preserve">  2120201</t>
  </si>
  <si>
    <t xml:space="preserve">    城乡社区规划与管理</t>
  </si>
  <si>
    <t>213</t>
  </si>
  <si>
    <t>农林水支出</t>
  </si>
  <si>
    <t xml:space="preserve"> 21301</t>
  </si>
  <si>
    <t xml:space="preserve">  农业农村</t>
  </si>
  <si>
    <t xml:space="preserve">  2130101</t>
  </si>
  <si>
    <t xml:space="preserve">  2130104</t>
  </si>
  <si>
    <t xml:space="preserve">  2130122</t>
  </si>
  <si>
    <t xml:space="preserve">    农业生产发展</t>
  </si>
  <si>
    <t xml:space="preserve">  2130199</t>
  </si>
  <si>
    <t xml:space="preserve">    其他农业农村支出</t>
  </si>
  <si>
    <t xml:space="preserve"> 21305</t>
  </si>
  <si>
    <t xml:space="preserve">  巩固脱贫攻坚成果衔接乡村振兴</t>
  </si>
  <si>
    <t xml:space="preserve">  2130504</t>
  </si>
  <si>
    <t xml:space="preserve">    农村基础设施建设</t>
  </si>
  <si>
    <t xml:space="preserve">  2130505</t>
  </si>
  <si>
    <t xml:space="preserve">    生产发展</t>
  </si>
  <si>
    <t>221</t>
  </si>
  <si>
    <t>住房保障支出</t>
  </si>
  <si>
    <t xml:space="preserve"> 22102</t>
  </si>
  <si>
    <t xml:space="preserve">  住房改革支出</t>
  </si>
  <si>
    <t xml:space="preserve">  2210201</t>
  </si>
  <si>
    <t xml:space="preserve">    住房公积金</t>
  </si>
  <si>
    <t>224</t>
  </si>
  <si>
    <t>灾害防治及应急管理支出</t>
  </si>
  <si>
    <t xml:space="preserve"> 22401</t>
  </si>
  <si>
    <t xml:space="preserve">  应急管理事务</t>
  </si>
  <si>
    <t xml:space="preserve">  2240101</t>
  </si>
  <si>
    <t xml:space="preserve"> 22402</t>
  </si>
  <si>
    <t xml:space="preserve">  消防救援事务</t>
  </si>
  <si>
    <t xml:space="preserve">  2240204</t>
  </si>
  <si>
    <t xml:space="preserve">    消防应急救援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</si>
  <si>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</si>
  <si>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</si>
  <si>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</si>
  <si>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</si>
  <si>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</si>
  <si>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</si>
  <si>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</si>
  <si>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</si>
  <si>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</si>
  <si>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</si>
  <si>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</si>
  <si>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</si>
  <si>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</si>
  <si>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</si>
  <si>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</si>
  <si>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</si>
  <si>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</si>
  <si>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</si>
  <si>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</si>
  <si>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</si>
  <si>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</si>
  <si>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</si>
  <si>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</si>
  <si>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</si>
  <si>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</si>
  <si>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</si>
  <si>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</si>
  <si>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</si>
  <si>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</si>
  <si>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</si>
  <si>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</si>
  <si>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</si>
  <si>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</si>
  <si>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</si>
  <si>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</si>
  <si>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</si>
  <si>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</si>
  <si>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</si>
  <si>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</si>
  <si>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</si>
  <si>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</si>
  <si>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</si>
  <si>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</si>
  <si>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</si>
  <si>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</si>
  <si>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</si>
  <si>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</si>
  <si>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</si>
  <si>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</si>
  <si>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20101</t>
  </si>
  <si>
    <t>人大事务</t>
  </si>
  <si>
    <t>2010101</t>
  </si>
  <si>
    <t>行政运行</t>
  </si>
  <si>
    <t>2010102</t>
  </si>
  <si>
    <t>一般行政管理事务</t>
  </si>
  <si>
    <t>20103</t>
  </si>
  <si>
    <t>政府办公厅（室）及相关机构事务</t>
  </si>
  <si>
    <t>2010301</t>
  </si>
  <si>
    <t>2010302</t>
  </si>
  <si>
    <t>2010399</t>
  </si>
  <si>
    <t>其他政府办公厅（室）及相关机构事务支出</t>
  </si>
  <si>
    <t>20104</t>
  </si>
  <si>
    <t>发展与改革事务</t>
  </si>
  <si>
    <t>2010406</t>
  </si>
  <si>
    <t>社会事业发展规划</t>
  </si>
  <si>
    <t>20105</t>
  </si>
  <si>
    <t>统计信息事务</t>
  </si>
  <si>
    <t>2010508</t>
  </si>
  <si>
    <t>统计抽样调查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</si>
  <si>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</si>
  <si>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</si>
  <si>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</si>
  <si>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</si>
  <si>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</si>
  <si>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</si>
  <si>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20136</t>
  </si>
  <si>
    <t>其他共产党事务支出</t>
  </si>
  <si>
    <t>2013650</t>
  </si>
  <si>
    <t>事业运行</t>
  </si>
  <si>
    <t>20138</t>
  </si>
  <si>
    <t>市场监督管理事务</t>
  </si>
  <si>
    <t>2013899</t>
  </si>
  <si>
    <t>其他市场监督管理事务</t>
  </si>
  <si>
    <t>20139</t>
  </si>
  <si>
    <t>社会工作事务</t>
  </si>
  <si>
    <t>2013901</t>
  </si>
  <si>
    <t>20402</t>
  </si>
  <si>
    <t>公安</t>
  </si>
  <si>
    <t>2040299</t>
  </si>
  <si>
    <t>其他公安支出</t>
  </si>
  <si>
    <t>20701</t>
  </si>
  <si>
    <t>文化和旅游</t>
  </si>
  <si>
    <t>2070199</t>
  </si>
  <si>
    <t>其他文化和旅游支出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</si>
  <si>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</si>
  <si>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</si>
  <si>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</si>
  <si>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</si>
  <si>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</si>
  <si>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</si>
  <si>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</si>
  <si>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</si>
  <si>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</si>
  <si>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</si>
  <si>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</si>
  <si>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</si>
  <si>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</si>
  <si>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</si>
  <si>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</si>
  <si>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</si>
  <si>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</si>
  <si>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</si>
  <si>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20825</t>
  </si>
  <si>
    <t>其他生活救助</t>
  </si>
  <si>
    <t>2082502</t>
  </si>
  <si>
    <t>其他农村生活救助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</si>
  <si>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</si>
  <si>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</si>
  <si>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</si>
  <si>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</si>
  <si>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</si>
  <si>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</si>
  <si>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</si>
  <si>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</si>
  <si>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</si>
  <si>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</si>
  <si>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</si>
  <si>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</si>
  <si>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21104</t>
  </si>
  <si>
    <t>自然生态保护</t>
  </si>
  <si>
    <t>2110402</t>
  </si>
  <si>
    <t>农村环境保护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</si>
  <si>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</si>
  <si>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</si>
  <si>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</si>
  <si>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</si>
  <si>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</si>
  <si>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</si>
  <si>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</si>
  <si>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21301</t>
  </si>
  <si>
    <t>农业农村</t>
  </si>
  <si>
    <t>2130101</t>
  </si>
  <si>
    <t>2130104</t>
  </si>
  <si>
    <t>2130122</t>
  </si>
  <si>
    <t>农业生产发展</t>
  </si>
  <si>
    <t>2130199</t>
  </si>
  <si>
    <t>其他农业农村支出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</si>
  <si>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</si>
  <si>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</si>
  <si>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</si>
  <si>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</si>
  <si>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</si>
  <si>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</si>
  <si>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22102</t>
  </si>
  <si>
    <t>住房改革支出</t>
  </si>
  <si>
    <t>2210201</t>
  </si>
  <si>
    <t>住房公积金</t>
  </si>
  <si>
    <t>22401</t>
  </si>
  <si>
    <t>应急管理事务</t>
  </si>
  <si>
    <t>2240101</t>
  </si>
  <si>
    <t>22402</t>
  </si>
  <si>
    <t>消防救援事务</t>
  </si>
  <si>
    <t>2240204</t>
  </si>
  <si>
    <t>消防应急救援</t>
  </si>
  <si>
    <t>预算03表</t>
  </si>
  <si>
    <t>一般公共预算“三公”经费支出预算表</t>
  </si>
  <si>
    <t>单位：元</t>
  </si>
  <si>
    <t>“三公”经费上年合计</t>
  </si>
  <si>
    <t>“三公”经费当年合计</t>
  </si>
  <si>
    <t>因公出国（境）费</t>
  </si>
  <si>
    <t>公务用车购置及运行费</t>
  </si>
  <si>
    <t>公务接待费</t>
  </si>
  <si>
    <t>上年数</t>
  </si>
  <si>
    <t>当年数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</si>
  <si>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</si>
  <si>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</si>
  <si>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</si>
  <si>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</si>
  <si>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</si>
  <si>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</si>
  <si>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</si>
  <si>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</si>
  <si>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</si>
  <si>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</si>
  <si>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</si>
  <si>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</si>
  <si>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</si>
  <si>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</si>
  <si>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</si>
  <si>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</si>
  <si>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</si>
  <si>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</si>
  <si>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</si>
  <si>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</si>
  <si>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</si>
  <si>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耿马傣族佤族自治县勐永镇</t>
  </si>
  <si>
    <t>530926221100000274519</t>
  </si>
  <si>
    <t>行政人员工资支出</t>
  </si>
  <si>
    <t>30101</t>
  </si>
  <si>
    <t>基本工资</t>
  </si>
  <si>
    <t>530926221100000274537</t>
  </si>
  <si>
    <t>事业人员工资支出</t>
  </si>
  <si>
    <t>30102</t>
  </si>
  <si>
    <t>津贴补贴</t>
  </si>
  <si>
    <t>530926241100002415048</t>
  </si>
  <si>
    <t>乡镇岗位补贴（行政）</t>
  </si>
  <si>
    <t>530926241100002415056</t>
  </si>
  <si>
    <t>乡镇岗位补贴（事业）</t>
  </si>
  <si>
    <t>30103</t>
  </si>
  <si>
    <t>奖金</t>
  </si>
  <si>
    <t>530926231100001390863</t>
  </si>
  <si>
    <t>行政人员绩效考核奖励（2017年提高部分）</t>
  </si>
  <si>
    <t>530926231100001390874</t>
  </si>
  <si>
    <t>奖励性绩效工资</t>
  </si>
  <si>
    <t>30107</t>
  </si>
  <si>
    <t>绩效工资</t>
  </si>
  <si>
    <t>530926231100001390878</t>
  </si>
  <si>
    <t>事业人员绩效工资（2017年提高部分）</t>
  </si>
  <si>
    <t>530926231100001390867</t>
  </si>
  <si>
    <t>基础性绩效工资</t>
  </si>
  <si>
    <t>530926221100000274544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</si>
  <si>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</si>
  <si>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</si>
  <si>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</si>
  <si>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</si>
  <si>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</si>
  <si>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</si>
  <si>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</si>
  <si>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</si>
  <si>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</si>
  <si>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</si>
  <si>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</si>
  <si>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</si>
  <si>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</si>
  <si>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</si>
  <si>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</si>
  <si>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530926221100000274540</t>
  </si>
  <si>
    <t>30113</t>
  </si>
  <si>
    <t>530926231100001391028</t>
  </si>
  <si>
    <t>社区工作经费</t>
  </si>
  <si>
    <t>30201</t>
  </si>
  <si>
    <t>办公费</t>
  </si>
  <si>
    <t>530926231100001391017</t>
  </si>
  <si>
    <t>村（居）民小组运转经费</t>
  </si>
  <si>
    <t>530926221100000274573</t>
  </si>
  <si>
    <t>一般公用经费</t>
  </si>
  <si>
    <t>30205</t>
  </si>
  <si>
    <t>水费</t>
  </si>
  <si>
    <t>30211</t>
  </si>
  <si>
    <t>差旅费</t>
  </si>
  <si>
    <t>30206</t>
  </si>
  <si>
    <t>电费</t>
  </si>
  <si>
    <t>30207</t>
  </si>
  <si>
    <t>邮电费</t>
  </si>
  <si>
    <t>530926251100003819458</t>
  </si>
  <si>
    <t>公务接待费（公用经费）</t>
  </si>
  <si>
    <t>30217</t>
  </si>
  <si>
    <t>530926251100003831587</t>
  </si>
  <si>
    <t>公务用车运行维护费（公用经费）</t>
  </si>
  <si>
    <t>30231</t>
  </si>
  <si>
    <t>公务用车运行维护费</t>
  </si>
  <si>
    <t>530926241100002415107</t>
  </si>
  <si>
    <t>村纪律监督工作经费</t>
  </si>
  <si>
    <t>530926241100002415110</t>
  </si>
  <si>
    <t>行政村工作经费</t>
  </si>
  <si>
    <t>530926221100000274572</t>
  </si>
  <si>
    <t>工会经费</t>
  </si>
  <si>
    <t>30228</t>
  </si>
  <si>
    <t>530926221100000274567</t>
  </si>
  <si>
    <t>530926221100000274569</t>
  </si>
  <si>
    <t>行政人员公务交通补贴</t>
  </si>
  <si>
    <t>30239</t>
  </si>
  <si>
    <t>其他交通费用</t>
  </si>
  <si>
    <t>530926251100003815550</t>
  </si>
  <si>
    <t>残疾人就业保障金</t>
  </si>
  <si>
    <t>30299</t>
  </si>
  <si>
    <t>其他商品和服务支出</t>
  </si>
  <si>
    <t>530926221100000274547</t>
  </si>
  <si>
    <t>离退休费</t>
  </si>
  <si>
    <t>30302</t>
  </si>
  <si>
    <t>退休费</t>
  </si>
  <si>
    <t>530926241100002415099</t>
  </si>
  <si>
    <t>社区（居）民小组干部“一肩挑”</t>
  </si>
  <si>
    <t>30305</t>
  </si>
  <si>
    <t>生活补助</t>
  </si>
  <si>
    <t>530926241100002415097</t>
  </si>
  <si>
    <t>社区（居）民小组党支部书记</t>
  </si>
  <si>
    <t>530926241100002415096</t>
  </si>
  <si>
    <t>社区（居）民小组长</t>
  </si>
  <si>
    <t>530926241100002415104</t>
  </si>
  <si>
    <t>社区统战宗教干事</t>
  </si>
  <si>
    <t>530926241100002415103</t>
  </si>
  <si>
    <t>社区监督委员会主任</t>
  </si>
  <si>
    <t>530926241100002449034</t>
  </si>
  <si>
    <t>社区下设党支部工作经费</t>
  </si>
  <si>
    <t>530926241100002449027</t>
  </si>
  <si>
    <t>村下设党支部工作经费</t>
  </si>
  <si>
    <t>530926241100002449033</t>
  </si>
  <si>
    <t>大岗位制生活补助</t>
  </si>
  <si>
    <t>530926241100002415093</t>
  </si>
  <si>
    <t>大岗位制财政补助人员</t>
  </si>
  <si>
    <t>530926241100002415102</t>
  </si>
  <si>
    <t>社区计划生育宣传员</t>
  </si>
  <si>
    <t>530926251100003825757</t>
  </si>
  <si>
    <t>村民小组党支部书记</t>
  </si>
  <si>
    <t>530926251100003825758</t>
  </si>
  <si>
    <t>村民小组干部“一肩挑”</t>
  </si>
  <si>
    <t>530926251100003825756</t>
  </si>
  <si>
    <t>村民小组长</t>
  </si>
  <si>
    <t>530926231100001390913</t>
  </si>
  <si>
    <t>村（居）民小组副组长</t>
  </si>
  <si>
    <t>530926231100001390948</t>
  </si>
  <si>
    <t>村（社区）委员</t>
  </si>
  <si>
    <t>530926241100002476894</t>
  </si>
  <si>
    <t>村（社区）妇女主任</t>
  </si>
  <si>
    <t>530926241100002415062</t>
  </si>
  <si>
    <t>村（社区）团支部书记</t>
  </si>
  <si>
    <t>530926241100002468213</t>
  </si>
  <si>
    <t>社区干部经费</t>
  </si>
  <si>
    <t>530926241100002468204</t>
  </si>
  <si>
    <t>一般社区工作人员经费</t>
  </si>
  <si>
    <t>530926231100001391001</t>
  </si>
  <si>
    <t>综治专干</t>
  </si>
  <si>
    <t>530926231100001390974</t>
  </si>
  <si>
    <t>计划生育信息员</t>
  </si>
  <si>
    <t>530926231100001390895</t>
  </si>
  <si>
    <t>社区干部“一肩挑”</t>
  </si>
  <si>
    <t>530926231100001390986</t>
  </si>
  <si>
    <t>社区党组织副书记</t>
  </si>
  <si>
    <t>530926231100001390899</t>
  </si>
  <si>
    <t>社区委员会副主任</t>
  </si>
  <si>
    <t>530926231100001390980</t>
  </si>
  <si>
    <t>其他村（居）组织人员住房公积金</t>
  </si>
  <si>
    <t>530926251100003815549</t>
  </si>
  <si>
    <t>村（社区）干部住房公积金</t>
  </si>
  <si>
    <t>530926231100001519027</t>
  </si>
  <si>
    <t>公益性岗位住房公积金</t>
  </si>
  <si>
    <t>530926231100001390960</t>
  </si>
  <si>
    <t>村级纪检监督员</t>
  </si>
  <si>
    <t>530926231100001390966</t>
  </si>
  <si>
    <t>村委会解聘人员</t>
  </si>
  <si>
    <t>530926231100001390925</t>
  </si>
  <si>
    <t>村（社区）国土规划员</t>
  </si>
  <si>
    <t>530926241100002476872</t>
  </si>
  <si>
    <t>安监部门临聘人员</t>
  </si>
  <si>
    <t>530926231100001390972</t>
  </si>
  <si>
    <t>机关事业单位职工遗属生活补助</t>
  </si>
  <si>
    <t>30307</t>
  </si>
  <si>
    <t>医疗费补助</t>
  </si>
  <si>
    <t>530926241100002607201</t>
  </si>
  <si>
    <t>农业有毒有害保健津贴经费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</si>
  <si>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</si>
  <si>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</si>
  <si>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</si>
  <si>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</si>
  <si>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</si>
  <si>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</si>
  <si>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</si>
  <si>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</si>
  <si>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2019年第三批中央统筹整合涉农项目产业强镇资金</t>
  </si>
  <si>
    <t>专项业务类</t>
  </si>
  <si>
    <t>530926251100004043392</t>
  </si>
  <si>
    <t>31005</t>
  </si>
  <si>
    <t>基础设施建设</t>
  </si>
  <si>
    <t>2020年勐永镇光木林村道路硬化项目中央统筹整合涉农补助经费</t>
  </si>
  <si>
    <t>530926251100004043717</t>
  </si>
  <si>
    <t>2021年帮令村麻栗树民族团结示范村脱贫攻坚巩固提升项目资金</t>
  </si>
  <si>
    <t>事业发展类</t>
  </si>
  <si>
    <t>530926251100004043098</t>
  </si>
  <si>
    <t>2021年勐永社区砂石产业路及引水沟渠修复建设资金</t>
  </si>
  <si>
    <t>530926251100004043641</t>
  </si>
  <si>
    <t>2023年彩票公益金项目资金</t>
  </si>
  <si>
    <t>530926251100004045374</t>
  </si>
  <si>
    <t>2025年春节慰问经费</t>
  </si>
  <si>
    <t>530926251100004070163</t>
  </si>
  <si>
    <t>2025年统计工作经费</t>
  </si>
  <si>
    <t>530926251100003819613</t>
  </si>
  <si>
    <t>2025年重大项目前期经费</t>
  </si>
  <si>
    <t>530926251100004101934</t>
  </si>
  <si>
    <t>村（社区）微型消防站建设、专职队车辆器材购置经费</t>
  </si>
  <si>
    <t>530926251100003825264</t>
  </si>
  <si>
    <t>村社区“两委”班子换届及乡镇班子换届工作经费</t>
  </si>
  <si>
    <t>530926251100003825011</t>
  </si>
  <si>
    <t>乡镇农村人居环境整治项目资金</t>
  </si>
  <si>
    <t>530926251100003819490</t>
  </si>
  <si>
    <t>30905</t>
  </si>
  <si>
    <t>乡镇人大主席团工作经费</t>
  </si>
  <si>
    <t>530926251100003823060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</si>
  <si>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</si>
  <si>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</si>
  <si>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</si>
  <si>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</si>
  <si>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</si>
  <si>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</si>
  <si>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</si>
  <si>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</si>
  <si>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</si>
  <si>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</si>
  <si>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</si>
  <si>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</si>
  <si>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村社区“两委”班子换届及乡镇班子换届工作经费</t>
  </si>
  <si>
    <t>保障换届工作正常开展</t>
  </si>
  <si>
    <t>产出指标</t>
  </si>
  <si>
    <t>质量指标</t>
  </si>
  <si>
    <t>验收合格率</t>
  </si>
  <si>
    <t>=</t>
  </si>
  <si>
    <t>100</t>
  </si>
  <si>
    <t>%</t>
  </si>
  <si>
    <t>定量指标</t>
  </si>
  <si>
    <t>验收合格率100%</t>
  </si>
  <si>
    <t>效益指标</t>
  </si>
  <si>
    <t>社会效益</t>
  </si>
  <si>
    <t>服务人群覆盖率</t>
  </si>
  <si>
    <t>服务人群覆盖率100%</t>
  </si>
  <si>
    <t>满意度指标</t>
  </si>
  <si>
    <t>服务对象满意度</t>
  </si>
  <si>
    <t>服务对象满意程度</t>
  </si>
  <si>
    <t>服务对象满意程度100%</t>
  </si>
  <si>
    <t xml:space="preserve">    乡镇农村人居环境整治项目资金</t>
  </si>
  <si>
    <t xml:space="preserve">计划对集镇公路沿线进行整治：清理侧沟，修复破损路面及盖板，绿化美化 1000 平方米，计划投资 20 万元。
</t>
  </si>
  <si>
    <t>数量指标</t>
  </si>
  <si>
    <t>绿化美化面积</t>
  </si>
  <si>
    <t>1000</t>
  </si>
  <si>
    <t>平方米</t>
  </si>
  <si>
    <t>绿化美化面积1000平方米</t>
  </si>
  <si>
    <t>受益人群覆盖率</t>
  </si>
  <si>
    <t>受益人群覆盖率100%</t>
  </si>
  <si>
    <t>受益人群满意度</t>
  </si>
  <si>
    <t>受益人群满意度100%</t>
  </si>
  <si>
    <t xml:space="preserve">    2025年春节慰问经费</t>
  </si>
  <si>
    <t>保障春节慰问活动正常开展</t>
  </si>
  <si>
    <t>慰问人数</t>
  </si>
  <si>
    <t>65</t>
  </si>
  <si>
    <t>人</t>
  </si>
  <si>
    <t>慰问人数65人</t>
  </si>
  <si>
    <t>时效指标</t>
  </si>
  <si>
    <t>资金按时拨付率</t>
  </si>
  <si>
    <t>定性指标</t>
  </si>
  <si>
    <t>资金按时拨付率100%</t>
  </si>
  <si>
    <t>政策知晓率</t>
  </si>
  <si>
    <t>&gt;=</t>
  </si>
  <si>
    <t>95</t>
  </si>
  <si>
    <t>政策知晓率大于95%</t>
  </si>
  <si>
    <t>可持续影响</t>
  </si>
  <si>
    <t>持续慰问比率</t>
  </si>
  <si>
    <t>持续慰问比率100%</t>
  </si>
  <si>
    <t>被慰问人员满意度</t>
  </si>
  <si>
    <t>&gt;</t>
  </si>
  <si>
    <t>被慰问人员满意度达95%</t>
  </si>
  <si>
    <t xml:space="preserve">    2023年彩票公益金项目资金</t>
  </si>
  <si>
    <t>建设勐永镇光木林村茶铺组、忙糯村永安自然村农村综合性活动广场。</t>
  </si>
  <si>
    <t>覆盖人群率</t>
  </si>
  <si>
    <t>覆盖人群率100%</t>
  </si>
  <si>
    <t>服务对象满意度95%</t>
  </si>
  <si>
    <t xml:space="preserve">    2020年勐永镇光木林村道路硬化项目中央统筹整合涉农补助经费</t>
  </si>
  <si>
    <t>完成下弄坝组硬板路建设</t>
  </si>
  <si>
    <t>覆盖人群率95%</t>
  </si>
  <si>
    <t xml:space="preserve">    2021年帮令村麻栗树民族团结示范村脱贫攻坚巩固提升项目资金</t>
  </si>
  <si>
    <t>应急物资储备70平方米 应急避险场所160平方米 安装太阳能路灯70盏</t>
  </si>
  <si>
    <t>验收合格率达100%</t>
  </si>
  <si>
    <t>资金拨付及时率</t>
  </si>
  <si>
    <t>资金拨付及时率达100%</t>
  </si>
  <si>
    <t>覆盖人群率达95%</t>
  </si>
  <si>
    <t>服务对象满意度达95%</t>
  </si>
  <si>
    <t xml:space="preserve">    2019年第三批中央统筹整合涉农项目产业强镇资金</t>
  </si>
  <si>
    <t>完成勐永镇农业产业强镇示范建设</t>
  </si>
  <si>
    <t>资金按时拨付率达100%</t>
  </si>
  <si>
    <t xml:space="preserve">    2025年重大项目前期经费</t>
  </si>
  <si>
    <t>保障项目实施</t>
  </si>
  <si>
    <t>项目完工率</t>
  </si>
  <si>
    <t>项目完工率100%</t>
  </si>
  <si>
    <t>项目可持续建设</t>
  </si>
  <si>
    <t>可持续</t>
  </si>
  <si>
    <t xml:space="preserve">    村（社区）微型消防站建设、专职队车辆器材购置经费</t>
  </si>
  <si>
    <t>保障村（社区）消防工作正常开展</t>
  </si>
  <si>
    <t>服务人群满意度</t>
  </si>
  <si>
    <t>服务人群满意度100%</t>
  </si>
  <si>
    <t xml:space="preserve">    2025年统计工作经费</t>
  </si>
  <si>
    <t>保障调查工作顺利开展，计划申请1%变动抽样调查工作经费10346元</t>
  </si>
  <si>
    <t>人口覆盖率</t>
  </si>
  <si>
    <t>服务对象满意度100%</t>
  </si>
  <si>
    <t xml:space="preserve">    乡镇人大主席团工作经费</t>
  </si>
  <si>
    <t>保障人大工作的正常开展</t>
  </si>
  <si>
    <t>服务对象覆盖率</t>
  </si>
  <si>
    <t>元</t>
  </si>
  <si>
    <t>服务对象覆盖率达100%</t>
  </si>
  <si>
    <t>服务对象满意程度达100%</t>
  </si>
  <si>
    <t xml:space="preserve">    2021年勐永社区砂石产业路及引水沟渠修复建设资金</t>
  </si>
  <si>
    <t>引水沟渠修复1.25公里 新建产业砂石路4公里</t>
  </si>
  <si>
    <t>人群覆盖率</t>
  </si>
  <si>
    <t>人群覆盖率达95%</t>
  </si>
  <si>
    <t>预算06表</t>
  </si>
  <si>
    <t>2025年部门政府性基金预算支出预算表</t>
  </si>
  <si>
    <t>政府性基金预算支出预算表</t>
  </si>
  <si>
    <t>单位名称：全部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</si>
  <si>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</si>
  <si>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</si>
  <si>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</si>
  <si>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</si>
  <si>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</si>
  <si>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</si>
  <si>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</si>
  <si>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</si>
  <si>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</si>
  <si>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</si>
  <si>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</si>
  <si>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</si>
  <si>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</si>
  <si>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2025年部门政府购买服务预算表</t>
  </si>
  <si>
    <t>政府购买服务项目</t>
  </si>
  <si>
    <t>政府购买服务目录</t>
  </si>
  <si>
    <t>政府性基金</t>
  </si>
  <si>
    <t>预算09-1表</t>
  </si>
  <si>
    <t>2025年县对下转移支付预算表</t>
  </si>
  <si>
    <t>单位名称（项目）</t>
  </si>
  <si>
    <t>地区</t>
  </si>
  <si>
    <t>-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</si>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</sst>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0" formatCode="#,##0.00;-#,##0.00;;@"/>
    <numFmt numFmtId="172" formatCode="HH:mm:ss"/>
    <numFmt numFmtId="173" formatCode="yyyy-MM-dd"/>
    <numFmt numFmtId="174" formatCode="yyyy-MM-dd HH:mm:ss"/>
    <numFmt numFmtId="175" formatCode="#,##0;-#,##0;;@"/>
  </numFmts>
  <fonts count="34">
    <font>
      <sz val="9"/>
      <color theme="1"/>
      <name val="Microsoft YaHei UI"/>
    </font>
    <font>
      <sz val="9"/>
      <color auto="1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9"/>
      <color auto="1"/>
      <name val="宋体"/>
    </font>
    <font>
      <sz val="9"/>
      <color auto="1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b/>
      <sz val="9"/>
      <color auto="1"/>
      <name val="宋体"/>
    </font>
    <font>
      <sz val="10"/>
      <color auto="1"/>
      <name val="Arial"/>
    </font>
    <font>
      <sz val="10"/>
      <color rgb="FF000000"/>
      <name val="宋体"/>
    </font>
    <font>
      <sz val="30"/>
      <color rgb="FF000000"/>
      <name val="宋体"/>
    </font>
    <font>
      <sz val="11.25"/>
      <color auto="1"/>
      <name val="宋体"/>
    </font>
    <font>
      <sz val="11.25"/>
      <color rgb="FF000000"/>
      <name val="宋体"/>
    </font>
    <font>
      <sz val="9"/>
      <color rgb="FF000000"/>
      <name val="宋体"/>
    </font>
    <font>
      <sz val="28"/>
      <color rgb="FF000000"/>
      <name val="宋体"/>
    </font>
    <font>
      <sz val="10"/>
      <color auto="1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10"/>
      <color auto="1"/>
      <name val="宋体"/>
    </font>
    <font>
      <b/>
      <sz val="21"/>
      <color rgb="FF000000"/>
      <name val="宋体"/>
    </font>
    <font>
      <sz val="22"/>
      <color auto="1"/>
      <name val="华文中宋"/>
    </font>
    <font>
      <sz val="18"/>
      <color auto="1"/>
      <name val="华文中宋"/>
    </font>
    <font>
      <sz val="11"/>
      <color auto="1"/>
      <name val="宋体"/>
    </font>
    <font>
      <sz val="12"/>
      <color auto="1"/>
      <name val="宋体"/>
    </font>
    <font>
      <b/>
      <sz val="23"/>
      <color rgb="FF000000"/>
      <name val="宋体"/>
    </font>
    <font>
      <sz val="10"/>
      <color rgb="FFFFFFFF"/>
      <name val="宋体"/>
    </font>
    <font>
      <b/>
      <sz val="22"/>
      <color rgb="FF000000"/>
      <name val="宋体"/>
    </font>
    <font>
      <b/>
      <sz val="23"/>
      <color auto="1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</border>
    <border>
      <left>
        <color rgb="FF000000"/>
      </left>
      <right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9">
    <xf numFmtId="0" fontId="0" fillId="0" borderId="1">
      <alignment horizontal="general" vertical="top"/>
      <protection locked="0"/>
    </xf>
    <xf numFmtId="0" fontId="1" fillId="0" borderId="0">
      <alignment horizontal="general" vertical="top"/>
      <protection locked="0"/>
    </xf>
    <xf numFmtId="170" fontId="2" fillId="0" borderId="2">
      <alignment horizontal="right" vertical="center"/>
    </xf>
    <xf numFmtId="49" fontId="2" fillId="0" borderId="2">
      <alignment horizontal="left" vertical="center" wrapText="1"/>
    </xf>
    <xf numFmtId="172" fontId="2" fillId="0" borderId="2">
      <alignment horizontal="right" vertical="center"/>
    </xf>
    <xf numFmtId="173" fontId="2" fillId="0" borderId="2">
      <alignment horizontal="right" vertical="center"/>
    </xf>
    <xf numFmtId="174" fontId="2" fillId="0" borderId="2">
      <alignment horizontal="right" vertical="center"/>
    </xf>
    <xf numFmtId="10" fontId="2" fillId="0" borderId="2">
      <alignment horizontal="right" vertical="center"/>
    </xf>
    <xf numFmtId="175" fontId="2" fillId="0" borderId="2">
      <alignment horizontal="right" vertical="center"/>
    </xf>
  </cellStyleXfs>
  <cellXfs count="242">
    <xf numFmtId="0" fontId="0" fillId="0" borderId="1" xfId="1">
      <alignment vertical="top"/>
      <protection locked="0"/>
    </xf>
    <xf numFmtId="0" fontId="3" fillId="0" borderId="0" xfId="1">
      <alignment horizontal="right" vertical="center"/>
    </xf>
    <xf numFmtId="0" fontId="4" fillId="0" borderId="0" xfId="1" quotePrefix="1">
      <alignment horizontal="center" vertical="center"/>
    </xf>
    <xf numFmtId="0" fontId="5" fillId="0" borderId="0" xfId="1">
      <alignment horizontal="center" vertical="top"/>
    </xf>
    <xf numFmtId="0" fontId="3" fillId="0" borderId="0" xfId="1" quotePrefix="1">
      <alignment horizontal="left" vertical="center"/>
    </xf>
    <xf numFmtId="0" fontId="6" fillId="0" borderId="0" xfId="1">
      <alignment horizontal="center" vertical="center"/>
    </xf>
    <xf numFmtId="0" fontId="7" fillId="0" borderId="3" xfId="1">
      <alignment horizontal="center" vertical="center"/>
    </xf>
    <xf numFmtId="0" fontId="7" fillId="0" borderId="4" xfId="1">
      <alignment horizontal="center" vertical="center"/>
    </xf>
    <xf numFmtId="0" fontId="7" fillId="0" borderId="5" xfId="1">
      <alignment horizontal="center" vertical="center"/>
    </xf>
    <xf numFmtId="0" fontId="7" fillId="0" borderId="5" xfId="1" quotePrefix="1">
      <alignment horizontal="center" vertical="center"/>
    </xf>
    <xf numFmtId="0" fontId="7" fillId="0" borderId="6" xfId="1">
      <alignment horizontal="center" vertical="center"/>
    </xf>
    <xf numFmtId="0" fontId="3" fillId="0" borderId="2" xfId="1">
      <alignment horizontal="left" vertical="center"/>
    </xf>
    <xf numFmtId="170" fontId="8" fillId="0" borderId="2" xfId="2">
      <alignment horizontal="right" vertical="center"/>
      <protection locked="0"/>
    </xf>
    <xf numFmtId="0" fontId="9" fillId="0" borderId="7" xfId="0">
      <alignment horizontal="left" vertical="center"/>
      <protection locked="0"/>
    </xf>
    <xf numFmtId="0" fontId="9" fillId="0" borderId="8" xfId="0">
      <alignment horizontal="left" vertical="center"/>
      <protection locked="0"/>
    </xf>
    <xf numFmtId="0" fontId="9" fillId="0" borderId="9" xfId="0">
      <alignment horizontal="left" vertical="center"/>
      <protection locked="0"/>
    </xf>
    <xf numFmtId="0" fontId="9" fillId="0" borderId="10" xfId="0">
      <alignment horizontal="left" vertical="center"/>
      <protection locked="0"/>
    </xf>
    <xf numFmtId="0" fontId="10" fillId="0" borderId="9" xfId="0">
      <alignment vertical="center"/>
      <protection locked="0"/>
    </xf>
    <xf numFmtId="0" fontId="11" fillId="0" borderId="9" xfId="0">
      <alignment horizontal="center" vertical="center"/>
      <protection locked="0"/>
    </xf>
    <xf numFmtId="0" fontId="12" fillId="0" borderId="6" xfId="1">
      <alignment horizontal="center" vertical="center"/>
    </xf>
    <xf numFmtId="170" fontId="13" fillId="0" borderId="2" xfId="2">
      <alignment horizontal="right" vertical="center"/>
      <protection locked="0"/>
    </xf>
    <xf numFmtId="0" fontId="12" fillId="0" borderId="2" xfId="1">
      <alignment horizontal="center" vertical="center"/>
    </xf>
    <xf numFmtId="0" fontId="3" fillId="0" borderId="6" xfId="1">
      <alignment horizontal="left" vertical="center"/>
    </xf>
    <xf numFmtId="0" fontId="12" fillId="0" borderId="6" xfId="1">
      <alignment horizontal="center" vertical="center"/>
      <protection locked="0"/>
    </xf>
    <xf numFmtId="0" fontId="14" fillId="0" borderId="0" xfId="1">
      <alignment vertical="top"/>
    </xf>
    <xf numFmtId="0" fontId="15" fillId="0" borderId="0" xfId="1">
      <protection locked="0"/>
    </xf>
    <xf numFmtId="0" fontId="3" fillId="0" borderId="0" xfId="1">
      <alignment horizontal="right" vertical="center"/>
      <protection locked="0"/>
    </xf>
    <xf numFmtId="0" fontId="4" fillId="0" borderId="0" xfId="1" quotePrefix="1">
      <alignment horizontal="center" vertical="center"/>
      <protection locked="0"/>
    </xf>
    <xf numFmtId="0" fontId="16" fillId="0" borderId="0" xfId="1">
      <alignment horizontal="center" vertical="center"/>
    </xf>
    <xf numFmtId="0" fontId="16" fillId="0" borderId="0" xfId="1">
      <alignment horizontal="center" vertical="center"/>
      <protection locked="0"/>
    </xf>
    <xf numFmtId="0" fontId="7" fillId="0" borderId="0" xfId="1">
      <alignment vertical="center"/>
    </xf>
    <xf numFmtId="0" fontId="7" fillId="0" borderId="0" xfId="1">
      <alignment vertical="center"/>
      <protection locked="0"/>
    </xf>
    <xf numFmtId="0" fontId="17" fillId="0" borderId="5" xfId="0">
      <alignment horizontal="center" vertical="center" wrapText="1"/>
      <protection locked="0"/>
    </xf>
    <xf numFmtId="0" fontId="17" fillId="0" borderId="11" xfId="0">
      <alignment horizontal="center" vertical="center" wrapText="1"/>
      <protection locked="0"/>
    </xf>
    <xf numFmtId="0" fontId="17" fillId="0" borderId="12" xfId="0">
      <alignment horizontal="center" vertical="center" wrapText="1"/>
      <protection locked="0"/>
    </xf>
    <xf numFmtId="0" fontId="17" fillId="0" borderId="12" xfId="0">
      <alignment horizontal="center" vertical="center" wrapText="1"/>
    </xf>
    <xf numFmtId="0" fontId="17" fillId="0" borderId="12" xfId="0">
      <alignment horizontal="center" vertical="center"/>
    </xf>
    <xf numFmtId="0" fontId="17" fillId="0" borderId="4" xfId="0">
      <alignment horizontal="center" vertical="center" wrapText="1"/>
    </xf>
    <xf numFmtId="0" fontId="17" fillId="2" borderId="4" xfId="0">
      <alignment horizontal="center" vertical="center" wrapText="1"/>
      <protection locked="0"/>
    </xf>
    <xf numFmtId="0" fontId="17" fillId="0" borderId="13" xfId="0">
      <alignment horizontal="center" vertical="center"/>
    </xf>
    <xf numFmtId="0" fontId="17" fillId="0" borderId="14" xfId="0">
      <alignment horizontal="center" vertical="center"/>
    </xf>
    <xf numFmtId="0" fontId="17" fillId="0" borderId="14" xfId="0">
      <alignment horizontal="center" vertical="center" wrapText="1"/>
      <protection locked="0"/>
    </xf>
    <xf numFmtId="0" fontId="17" fillId="0" borderId="15" xfId="0">
      <alignment horizontal="center" vertical="center"/>
    </xf>
    <xf numFmtId="0" fontId="17" fillId="0" borderId="16" xfId="0">
      <alignment horizontal="center" vertical="center"/>
    </xf>
    <xf numFmtId="0" fontId="17" fillId="0" borderId="6" xfId="0">
      <alignment horizontal="center" vertical="center" wrapText="1"/>
    </xf>
    <xf numFmtId="0" fontId="17" fillId="0" borderId="16" xfId="0">
      <alignment horizontal="center" vertical="center" wrapText="1"/>
    </xf>
    <xf numFmtId="0" fontId="17" fillId="0" borderId="16" xfId="0">
      <alignment horizontal="center" vertical="center"/>
      <protection locked="0"/>
    </xf>
    <xf numFmtId="0" fontId="18" fillId="0" borderId="2" xfId="0">
      <alignment horizontal="center" vertical="center"/>
    </xf>
    <xf numFmtId="0" fontId="19" fillId="0" borderId="6" xfId="0">
      <alignment vertical="center" wrapText="1"/>
    </xf>
    <xf numFmtId="0" fontId="19" fillId="0" borderId="16" xfId="0">
      <alignment vertical="center" wrapText="1"/>
    </xf>
    <xf numFmtId="0" fontId="19" fillId="0" borderId="6" xfId="0">
      <alignment horizontal="center" vertical="center"/>
    </xf>
    <xf numFmtId="0" fontId="19" fillId="0" borderId="16" xfId="0">
      <alignment horizontal="center" vertical="center"/>
    </xf>
    <xf numFmtId="0" fontId="4" fillId="0" borderId="0" xfId="1">
      <alignment horizontal="center" vertical="center"/>
    </xf>
    <xf numFmtId="0" fontId="20" fillId="0" borderId="0" xfId="1">
      <alignment horizontal="center" vertical="center"/>
    </xf>
    <xf numFmtId="0" fontId="3" fillId="0" borderId="0" xfId="1" quotePrefix="1">
      <alignment horizontal="left" vertical="center" wrapText="1"/>
      <protection locked="0"/>
    </xf>
    <xf numFmtId="0" fontId="15" fillId="0" borderId="0" xfId="1">
      <alignment horizontal="left" vertical="center" wrapText="1"/>
    </xf>
    <xf numFmtId="0" fontId="15" fillId="0" borderId="0" xfId="1">
      <alignment vertical="bottom" wrapText="1"/>
    </xf>
    <xf numFmtId="0" fontId="15" fillId="0" borderId="0" xfId="1"/>
    <xf numFmtId="0" fontId="21" fillId="0" borderId="0" xfId="1"/>
    <xf numFmtId="0" fontId="7" fillId="0" borderId="5" xfId="1">
      <alignment horizontal="center" vertical="center" wrapText="1"/>
      <protection locked="0"/>
    </xf>
    <xf numFmtId="0" fontId="7" fillId="0" borderId="12" xfId="1">
      <alignment horizontal="center" vertical="center" wrapText="1"/>
      <protection locked="0"/>
    </xf>
    <xf numFmtId="0" fontId="7" fillId="0" borderId="4" xfId="1">
      <alignment horizontal="center" vertical="center" wrapText="1"/>
      <protection locked="0"/>
    </xf>
    <xf numFmtId="0" fontId="7" fillId="0" borderId="12" xfId="1">
      <alignment horizontal="center" vertical="center"/>
    </xf>
    <xf numFmtId="0" fontId="7" fillId="0" borderId="6" xfId="1">
      <alignment horizontal="center" vertical="center" wrapText="1"/>
    </xf>
    <xf numFmtId="0" fontId="7" fillId="0" borderId="2" xfId="1">
      <alignment horizontal="center" vertical="center"/>
    </xf>
    <xf numFmtId="0" fontId="7" fillId="0" borderId="2" xfId="1">
      <alignment horizontal="center" vertical="center" wrapText="1"/>
      <protection locked="0"/>
    </xf>
    <xf numFmtId="0" fontId="7" fillId="0" borderId="2" xfId="1">
      <alignment horizontal="center" vertical="center" wrapText="1"/>
    </xf>
    <xf numFmtId="3" fontId="18" fillId="0" borderId="2" xfId="0">
      <alignment horizontal="center" vertical="center"/>
    </xf>
    <xf numFmtId="0" fontId="19" fillId="0" borderId="2" xfId="0">
      <alignment horizontal="left" vertical="center"/>
    </xf>
    <xf numFmtId="0" fontId="19" fillId="0" borderId="2" xfId="0" quotePrefix="1">
      <alignment horizontal="left" vertical="center"/>
    </xf>
    <xf numFmtId="0" fontId="9" fillId="0" borderId="2" xfId="0" quotePrefix="1">
      <alignment horizontal="left" vertical="center"/>
      <protection locked="0"/>
    </xf>
    <xf numFmtId="0" fontId="9" fillId="0" borderId="2" xfId="0" quotePrefix="1">
      <alignment horizontal="left" vertical="center"/>
    </xf>
    <xf numFmtId="0" fontId="9" fillId="0" borderId="3" xfId="0">
      <alignment horizontal="center" vertical="center" wrapText="1"/>
      <protection locked="0"/>
    </xf>
    <xf numFmtId="0" fontId="9" fillId="0" borderId="4" xfId="0">
      <alignment horizontal="center" vertical="center" wrapText="1"/>
    </xf>
    <xf numFmtId="0" fontId="22" fillId="0" borderId="0" xfId="1">
      <alignment horizontal="center" vertical="center"/>
    </xf>
    <xf numFmtId="0" fontId="3" fillId="0" borderId="0" xfId="1">
      <alignment horizontal="left" vertical="center"/>
      <protection locked="0"/>
    </xf>
    <xf numFmtId="0" fontId="23" fillId="0" borderId="0" xfId="1">
      <alignment horizontal="center" vertical="center"/>
    </xf>
    <xf numFmtId="0" fontId="7" fillId="0" borderId="5" xfId="1" quotePrefix="1">
      <alignment horizontal="center" vertical="center"/>
      <protection locked="0"/>
    </xf>
    <xf numFmtId="0" fontId="3" fillId="0" borderId="2" xfId="1">
      <alignment vertical="center"/>
    </xf>
    <xf numFmtId="0" fontId="3" fillId="0" borderId="2" xfId="1">
      <alignment horizontal="left" vertical="center"/>
      <protection locked="0"/>
    </xf>
    <xf numFmtId="0" fontId="3" fillId="0" borderId="2" xfId="1">
      <alignment vertical="center"/>
      <protection locked="0"/>
    </xf>
    <xf numFmtId="0" fontId="12" fillId="0" borderId="2" xfId="1">
      <alignment horizontal="center" vertical="center"/>
      <protection locked="0"/>
    </xf>
    <xf numFmtId="0" fontId="9" fillId="0" borderId="2" xfId="0">
      <alignment horizontal="left" vertical="center"/>
      <protection locked="0"/>
    </xf>
    <xf numFmtId="0" fontId="8" fillId="0" borderId="2" xfId="0">
      <alignment vertical="top"/>
      <protection locked="0"/>
    </xf>
    <xf numFmtId="0" fontId="8" fillId="0" borderId="0" xfId="0">
      <alignment vertical="center"/>
      <protection locked="0"/>
    </xf>
    <xf numFmtId="0" fontId="24" fillId="0" borderId="0" xfId="1">
      <alignment vertical="center"/>
    </xf>
    <xf numFmtId="0" fontId="15" fillId="0" borderId="0" xfId="1">
      <alignment horizontal="right" vertical="center"/>
    </xf>
    <xf numFmtId="0" fontId="25" fillId="0" borderId="0" xfId="1">
      <alignment horizontal="center" vertical="center"/>
    </xf>
    <xf numFmtId="0" fontId="3" fillId="0" borderId="0" xfId="1" quotePrefix="1">
      <alignment horizontal="left" vertical="center"/>
      <protection locked="0"/>
    </xf>
    <xf numFmtId="49" fontId="24" fillId="0" borderId="0" xfId="1">
      <alignment vertical="center"/>
    </xf>
    <xf numFmtId="49" fontId="7" fillId="0" borderId="3" xfId="1">
      <alignment horizontal="center" vertical="center" wrapText="1"/>
    </xf>
    <xf numFmtId="49" fontId="7" fillId="0" borderId="4" xfId="1">
      <alignment horizontal="center" vertical="center" wrapText="1"/>
    </xf>
    <xf numFmtId="0" fontId="7" fillId="0" borderId="5" xfId="1">
      <alignment horizontal="center" vertical="center"/>
      <protection locked="0"/>
    </xf>
    <xf numFmtId="0" fontId="7" fillId="0" borderId="3" xfId="1">
      <alignment horizontal="center" vertical="center"/>
      <protection locked="0"/>
    </xf>
    <xf numFmtId="0" fontId="7" fillId="0" borderId="11" xfId="1">
      <alignment horizontal="center" vertical="center"/>
    </xf>
    <xf numFmtId="49" fontId="7" fillId="0" borderId="2" xfId="1">
      <alignment horizontal="center" vertical="center"/>
    </xf>
    <xf numFmtId="0" fontId="7" fillId="0" borderId="16" xfId="1">
      <alignment horizontal="center" vertical="center"/>
    </xf>
    <xf numFmtId="49" fontId="18" fillId="0" borderId="2" xfId="1">
      <alignment horizontal="center" vertical="center"/>
    </xf>
    <xf numFmtId="0" fontId="18" fillId="0" borderId="2" xfId="1">
      <alignment horizontal="center" vertical="center"/>
    </xf>
    <xf numFmtId="49" fontId="18" fillId="0" borderId="2" xfId="1">
      <alignment horizontal="center" vertical="center"/>
      <protection locked="0"/>
    </xf>
    <xf numFmtId="0" fontId="3" fillId="0" borderId="2" xfId="1">
      <alignment horizontal="left" vertical="center" wrapText="1"/>
    </xf>
    <xf numFmtId="0" fontId="3" fillId="0" borderId="2" xfId="1">
      <alignment horizontal="left" vertical="center" wrapText="1" indent="1"/>
    </xf>
    <xf numFmtId="0" fontId="3" fillId="0" borderId="2" xfId="1">
      <alignment horizontal="left" vertical="center" wrapText="1" indent="2"/>
    </xf>
    <xf numFmtId="0" fontId="3" fillId="0" borderId="2" xfId="1">
      <alignment horizontal="center" vertical="center" wrapText="1"/>
    </xf>
    <xf numFmtId="0" fontId="24" fillId="0" borderId="0" xfId="1">
      <alignment horizontal="center" vertical="bottom"/>
    </xf>
    <xf numFmtId="0" fontId="24" fillId="0" borderId="0" xfId="1">
      <alignment horizontal="center" vertical="bottom" wrapText="1"/>
    </xf>
    <xf numFmtId="0" fontId="24" fillId="0" borderId="0" xfId="1">
      <alignment vertical="bottom" wrapText="1"/>
    </xf>
    <xf numFmtId="0" fontId="24" fillId="0" borderId="0" xfId="1">
      <alignment vertical="top"/>
    </xf>
    <xf numFmtId="0" fontId="8" fillId="0" borderId="0" xfId="1">
      <alignment horizontal="right" vertical="center"/>
    </xf>
    <xf numFmtId="0" fontId="8" fillId="0" borderId="0" xfId="1">
      <alignment horizontal="right" vertical="center" wrapText="1"/>
    </xf>
    <xf numFmtId="0" fontId="26" fillId="0" borderId="0" xfId="1">
      <alignment horizontal="center" vertical="center"/>
    </xf>
    <xf numFmtId="0" fontId="27" fillId="0" borderId="0" xfId="1">
      <alignment horizontal="center" vertical="center"/>
    </xf>
    <xf numFmtId="0" fontId="27" fillId="0" borderId="0" xfId="1">
      <alignment horizontal="center" vertical="center" wrapText="1"/>
    </xf>
    <xf numFmtId="0" fontId="8" fillId="0" borderId="0" xfId="1" quotePrefix="1">
      <alignment horizontal="left" vertical="center"/>
    </xf>
    <xf numFmtId="0" fontId="24" fillId="0" borderId="0" xfId="1"/>
    <xf numFmtId="0" fontId="28" fillId="0" borderId="5" xfId="1">
      <alignment horizontal="center" vertical="center" wrapText="1"/>
      <protection locked="0"/>
    </xf>
    <xf numFmtId="0" fontId="28" fillId="0" borderId="3" xfId="1">
      <alignment horizontal="center" vertical="center"/>
    </xf>
    <xf numFmtId="0" fontId="28" fillId="0" borderId="4" xfId="1">
      <alignment horizontal="center" vertical="center"/>
    </xf>
    <xf numFmtId="0" fontId="28" fillId="0" borderId="12" xfId="1">
      <alignment horizontal="center" vertical="center"/>
    </xf>
    <xf numFmtId="0" fontId="28" fillId="0" borderId="13" xfId="1">
      <alignment horizontal="center" vertical="center" wrapText="1"/>
      <protection locked="0"/>
    </xf>
    <xf numFmtId="0" fontId="28" fillId="0" borderId="13" xfId="1">
      <alignment horizontal="center" vertical="center"/>
    </xf>
    <xf numFmtId="0" fontId="28" fillId="0" borderId="5" xfId="1">
      <alignment horizontal="center" vertical="center"/>
    </xf>
    <xf numFmtId="0" fontId="29" fillId="0" borderId="6" xfId="1">
      <alignment horizontal="center" vertical="center"/>
    </xf>
    <xf numFmtId="0" fontId="29" fillId="0" borderId="6" xfId="1">
      <alignment horizontal="center" vertical="center" wrapText="1"/>
    </xf>
    <xf numFmtId="0" fontId="29" fillId="0" borderId="3" xfId="1">
      <alignment horizontal="center" vertical="center" wrapText="1"/>
    </xf>
    <xf numFmtId="0" fontId="29" fillId="0" borderId="3" xfId="1">
      <alignment horizontal="center" vertical="center"/>
    </xf>
    <xf numFmtId="0" fontId="29" fillId="0" borderId="3" xfId="1">
      <alignment horizontal="center" vertical="center"/>
      <protection locked="0"/>
    </xf>
    <xf numFmtId="0" fontId="17" fillId="0" borderId="2" xfId="0">
      <alignment horizontal="center" vertical="center"/>
      <protection locked="0"/>
    </xf>
    <xf numFmtId="0" fontId="17" fillId="0" borderId="2" xfId="0">
      <alignment horizontal="center" vertical="center"/>
    </xf>
    <xf numFmtId="0" fontId="17" fillId="0" borderId="3" xfId="0">
      <alignment horizontal="center" vertical="center"/>
    </xf>
    <xf numFmtId="0" fontId="17" fillId="0" borderId="3" xfId="1">
      <alignment horizontal="center" vertical="center"/>
    </xf>
    <xf numFmtId="0" fontId="24" fillId="0" borderId="0" xfId="1">
      <alignment vertical="top"/>
      <protection locked="0"/>
    </xf>
    <xf numFmtId="49" fontId="15" fillId="0" borderId="0" xfId="1">
      <protection locked="0"/>
    </xf>
    <xf numFmtId="0" fontId="4" fillId="0" borderId="0" xfId="1">
      <alignment horizontal="center" vertical="center"/>
      <protection locked="0"/>
    </xf>
    <xf numFmtId="0" fontId="30" fillId="0" borderId="0" xfId="1">
      <alignment horizontal="center" vertical="center"/>
      <protection locked="0"/>
    </xf>
    <xf numFmtId="0" fontId="30" fillId="0" borderId="0" xfId="1">
      <alignment horizontal="center" vertical="center"/>
    </xf>
    <xf numFmtId="0" fontId="7" fillId="0" borderId="0" xfId="1">
      <alignment horizontal="left" vertical="center"/>
      <protection locked="0"/>
    </xf>
    <xf numFmtId="0" fontId="7" fillId="0" borderId="0" xfId="1">
      <protection locked="0"/>
    </xf>
    <xf numFmtId="0" fontId="7" fillId="0" borderId="0" xfId="1"/>
    <xf numFmtId="0" fontId="7" fillId="0" borderId="12" xfId="1">
      <alignment horizontal="center" vertical="center"/>
      <protection locked="0"/>
    </xf>
    <xf numFmtId="0" fontId="7" fillId="0" borderId="4" xfId="1">
      <alignment horizontal="center" vertical="center"/>
      <protection locked="0"/>
    </xf>
    <xf numFmtId="0" fontId="7" fillId="0" borderId="13" xfId="1">
      <alignment horizontal="center" vertical="center" wrapText="1"/>
      <protection locked="0"/>
    </xf>
    <xf numFmtId="0" fontId="7" fillId="0" borderId="13" xfId="1">
      <alignment horizontal="center" vertical="center"/>
      <protection locked="0"/>
    </xf>
    <xf numFmtId="0" fontId="7" fillId="0" borderId="13" xfId="1">
      <alignment horizontal="center" vertical="center"/>
    </xf>
    <xf numFmtId="0" fontId="7" fillId="0" borderId="3" xfId="1">
      <alignment horizontal="center" vertical="center" wrapText="1"/>
      <protection locked="0"/>
    </xf>
    <xf numFmtId="0" fontId="7" fillId="0" borderId="6" xfId="1">
      <alignment horizontal="center" vertical="center"/>
      <protection locked="0"/>
    </xf>
    <xf numFmtId="0" fontId="7" fillId="0" borderId="6" xfId="1">
      <alignment horizontal="center" vertical="center" wrapText="1"/>
      <protection locked="0"/>
    </xf>
    <xf numFmtId="3" fontId="17" fillId="0" borderId="2" xfId="1">
      <alignment horizontal="center" vertical="center"/>
      <protection locked="0"/>
    </xf>
    <xf numFmtId="0" fontId="8" fillId="0" borderId="2" xfId="1">
      <alignment horizontal="left" vertical="center"/>
    </xf>
    <xf numFmtId="0" fontId="8" fillId="0" borderId="2" xfId="1">
      <alignment horizontal="left" vertical="center" indent="1"/>
    </xf>
    <xf numFmtId="0" fontId="8" fillId="0" borderId="2" xfId="1">
      <alignment horizontal="left" vertical="center" wrapText="1"/>
      <protection locked="0"/>
    </xf>
    <xf numFmtId="49" fontId="8" fillId="0" borderId="2" xfId="3">
      <alignment horizontal="left" vertical="center" wrapText="1"/>
      <protection locked="0"/>
    </xf>
    <xf numFmtId="0" fontId="8" fillId="0" borderId="2" xfId="1">
      <alignment horizontal="center" vertical="center" wrapText="1"/>
      <protection locked="0"/>
    </xf>
    <xf numFmtId="49" fontId="15" fillId="0" borderId="0" xfId="1"/>
    <xf numFmtId="0" fontId="7" fillId="0" borderId="0" xfId="1">
      <alignment horizontal="left" vertical="center"/>
    </xf>
    <xf numFmtId="0" fontId="7" fillId="0" borderId="5" xfId="1">
      <alignment horizontal="center" vertical="center" wrapText="1"/>
    </xf>
    <xf numFmtId="0" fontId="7" fillId="0" borderId="13" xfId="1">
      <alignment horizontal="center" vertical="center" wrapText="1"/>
    </xf>
    <xf numFmtId="0" fontId="7" fillId="0" borderId="17" xfId="1">
      <alignment horizontal="center" vertical="center"/>
    </xf>
    <xf numFmtId="0" fontId="7" fillId="0" borderId="18" xfId="1">
      <alignment horizontal="center" vertical="center" wrapText="1"/>
      <protection locked="0"/>
    </xf>
    <xf numFmtId="3" fontId="17" fillId="0" borderId="2" xfId="0">
      <alignment horizontal="center" vertical="center"/>
    </xf>
    <xf numFmtId="0" fontId="8" fillId="0" borderId="2" xfId="1">
      <alignment horizontal="left" vertical="center" wrapText="1"/>
    </xf>
    <xf numFmtId="0" fontId="8" fillId="0" borderId="2" xfId="1">
      <alignment horizontal="center" vertical="center" wrapText="1"/>
    </xf>
    <xf numFmtId="0" fontId="3" fillId="0" borderId="0" xfId="1">
      <alignment horizontal="right" vertical="center" wrapText="1"/>
      <protection locked="0"/>
    </xf>
    <xf numFmtId="0" fontId="8" fillId="0" borderId="0" xfId="1">
      <alignment horizontal="left" vertical="center"/>
      <protection locked="0"/>
    </xf>
    <xf numFmtId="0" fontId="8" fillId="0" borderId="0" xfId="1">
      <alignment vertical="top"/>
      <protection locked="0"/>
    </xf>
    <xf numFmtId="0" fontId="7" fillId="0" borderId="2" xfId="1">
      <alignment horizontal="center" vertical="center"/>
      <protection locked="0"/>
    </xf>
    <xf numFmtId="0" fontId="3" fillId="0" borderId="2" xfId="1">
      <alignment vertical="center" wrapText="1"/>
    </xf>
    <xf numFmtId="0" fontId="3" fillId="0" borderId="2" xfId="1">
      <alignment horizontal="center" vertical="center"/>
      <protection locked="0"/>
    </xf>
    <xf numFmtId="0" fontId="3" fillId="0" borderId="2" xfId="1">
      <alignment horizontal="left" vertical="center" wrapText="1"/>
      <protection locked="0"/>
    </xf>
    <xf numFmtId="0" fontId="3" fillId="0" borderId="2" xfId="1" quotePrefix="1">
      <alignment horizontal="left" vertical="center" wrapText="1"/>
    </xf>
    <xf numFmtId="0" fontId="31" fillId="0" borderId="0" xfId="1">
      <alignment horizontal="right" vertical="bottom"/>
      <protection locked="0"/>
    </xf>
    <xf numFmtId="49" fontId="31" fillId="0" borderId="0" xfId="1">
      <protection locked="0"/>
    </xf>
    <xf numFmtId="0" fontId="15" fillId="0" borderId="0" xfId="1">
      <alignment horizontal="right" vertical="bottom"/>
    </xf>
    <xf numFmtId="0" fontId="4" fillId="0" borderId="0" xfId="1" quotePrefix="1">
      <alignment horizontal="center" vertical="center" wrapText="1"/>
      <protection locked="0"/>
    </xf>
    <xf numFmtId="0" fontId="25" fillId="0" borderId="0" xfId="1">
      <alignment horizontal="center" vertical="center" wrapText="1"/>
      <protection locked="0"/>
    </xf>
    <xf numFmtId="0" fontId="25" fillId="0" borderId="0" xfId="1">
      <alignment horizontal="center" vertical="center"/>
      <protection locked="0"/>
    </xf>
    <xf numFmtId="49" fontId="7" fillId="0" borderId="11" xfId="1">
      <alignment horizontal="center" vertical="center" wrapText="1"/>
      <protection locked="0"/>
    </xf>
    <xf numFmtId="0" fontId="7" fillId="0" borderId="11" xfId="1">
      <alignment horizontal="center" vertical="center"/>
      <protection locked="0"/>
    </xf>
    <xf numFmtId="49" fontId="7" fillId="0" borderId="16" xfId="1">
      <alignment horizontal="center" vertical="center" wrapText="1"/>
      <protection locked="0"/>
    </xf>
    <xf numFmtId="0" fontId="7" fillId="0" borderId="16" xfId="1">
      <alignment horizontal="center" vertical="center"/>
      <protection locked="0"/>
    </xf>
    <xf numFmtId="0" fontId="18" fillId="0" borderId="6" xfId="0">
      <alignment horizontal="center" vertical="center"/>
      <protection locked="0"/>
    </xf>
    <xf numFmtId="49" fontId="18" fillId="0" borderId="16" xfId="0">
      <alignment horizontal="center" vertical="center"/>
      <protection locked="0"/>
    </xf>
    <xf numFmtId="0" fontId="18" fillId="0" borderId="16" xfId="0">
      <alignment horizontal="center" vertical="center"/>
      <protection locked="0"/>
    </xf>
    <xf numFmtId="0" fontId="18" fillId="0" borderId="16" xfId="0">
      <alignment horizontal="center" vertical="center"/>
    </xf>
    <xf numFmtId="0" fontId="3" fillId="0" borderId="6" xfId="1">
      <alignment horizontal="left" vertical="center" wrapText="1"/>
      <protection locked="0"/>
    </xf>
    <xf numFmtId="0" fontId="3" fillId="0" borderId="16" xfId="1">
      <alignment horizontal="left" vertical="center" wrapText="1"/>
      <protection locked="0"/>
    </xf>
    <xf numFmtId="0" fontId="3" fillId="0" borderId="6" xfId="1">
      <alignment horizontal="center" vertical="center" wrapText="1"/>
      <protection locked="0"/>
    </xf>
    <xf numFmtId="49" fontId="24" fillId="0" borderId="2" xfId="1">
      <alignment horizontal="center" vertical="bottom"/>
    </xf>
    <xf numFmtId="0" fontId="24" fillId="0" borderId="2" xfId="1">
      <alignment horizontal="center" vertical="bottom"/>
    </xf>
    <xf numFmtId="0" fontId="4" fillId="0" borderId="0" xfId="1" quotePrefix="1">
      <alignment horizontal="center" vertical="center" wrapText="1"/>
    </xf>
    <xf numFmtId="0" fontId="3" fillId="0" borderId="0" xfId="1">
      <alignment horizontal="left" vertical="center"/>
    </xf>
    <xf numFmtId="0" fontId="3" fillId="0" borderId="0" xfId="1">
      <alignment horizontal="right" vertical="bottom"/>
      <protection locked="0"/>
    </xf>
    <xf numFmtId="0" fontId="7" fillId="0" borderId="11" xfId="1">
      <alignment horizontal="center" vertical="center" wrapText="1"/>
    </xf>
    <xf numFmtId="0" fontId="7" fillId="0" borderId="12" xfId="1">
      <alignment horizontal="center" vertical="center" wrapText="1"/>
    </xf>
    <xf numFmtId="0" fontId="7" fillId="0" borderId="4" xfId="1">
      <alignment horizontal="center" vertical="center" wrapText="1"/>
    </xf>
    <xf numFmtId="0" fontId="7" fillId="0" borderId="14" xfId="1">
      <alignment horizontal="center" vertical="center" wrapText="1"/>
    </xf>
    <xf numFmtId="0" fontId="28" fillId="0" borderId="14" xfId="1">
      <alignment horizontal="center" vertical="center" wrapText="1"/>
      <protection locked="0"/>
    </xf>
    <xf numFmtId="0" fontId="7" fillId="0" borderId="15" xfId="1">
      <alignment horizontal="center" vertical="center" wrapText="1"/>
    </xf>
    <xf numFmtId="0" fontId="28" fillId="0" borderId="15" xfId="1">
      <alignment horizontal="center" vertical="center"/>
      <protection locked="0"/>
    </xf>
    <xf numFmtId="0" fontId="28" fillId="0" borderId="15" xfId="1">
      <alignment horizontal="center" vertical="center" wrapText="1"/>
      <protection locked="0"/>
    </xf>
    <xf numFmtId="0" fontId="7" fillId="0" borderId="16" xfId="1">
      <alignment horizontal="center" vertical="center" wrapText="1"/>
    </xf>
    <xf numFmtId="0" fontId="7" fillId="0" borderId="16" xfId="1">
      <alignment horizontal="center" vertical="center" wrapText="1"/>
      <protection locked="0"/>
    </xf>
    <xf numFmtId="0" fontId="3" fillId="0" borderId="6" xfId="1">
      <alignment horizontal="left" vertical="center" wrapText="1"/>
    </xf>
    <xf numFmtId="0" fontId="3" fillId="0" borderId="16" xfId="1">
      <alignment horizontal="left" vertical="center" wrapText="1"/>
    </xf>
    <xf numFmtId="0" fontId="3" fillId="0" borderId="16" xfId="1">
      <alignment horizontal="right" vertical="center"/>
    </xf>
    <xf numFmtId="4" fontId="3" fillId="0" borderId="16" xfId="1">
      <alignment horizontal="right" vertical="center"/>
      <protection locked="0"/>
    </xf>
    <xf numFmtId="4" fontId="3" fillId="0" borderId="2" xfId="1">
      <alignment horizontal="right" vertical="center"/>
      <protection locked="0"/>
    </xf>
    <xf numFmtId="0" fontId="3" fillId="0" borderId="6" xfId="1">
      <alignment horizontal="center" vertical="center" wrapText="1"/>
    </xf>
    <xf numFmtId="0" fontId="8" fillId="0" borderId="0" xfId="1">
      <alignment vertical="top" wrapText="1"/>
      <protection locked="0"/>
    </xf>
    <xf numFmtId="0" fontId="3" fillId="0" borderId="0" xfId="1">
      <alignment horizontal="right" vertical="center" wrapText="1"/>
    </xf>
    <xf numFmtId="0" fontId="4" fillId="0" borderId="0" xfId="1">
      <alignment horizontal="center" vertical="center" wrapText="1"/>
    </xf>
    <xf numFmtId="0" fontId="30" fillId="0" borderId="0" xfId="1">
      <alignment horizontal="center" vertical="center" wrapText="1"/>
    </xf>
    <xf numFmtId="0" fontId="30" fillId="0" borderId="0" xfId="1">
      <alignment horizontal="center" vertical="center" wrapText="1"/>
      <protection locked="0"/>
    </xf>
    <xf numFmtId="0" fontId="3" fillId="0" borderId="0" xfId="1" quotePrefix="1">
      <alignment horizontal="left" vertical="center" wrapText="1"/>
    </xf>
    <xf numFmtId="0" fontId="7" fillId="0" borderId="0" xfId="1">
      <alignment vertical="bottom" wrapText="1"/>
    </xf>
    <xf numFmtId="0" fontId="3" fillId="0" borderId="0" xfId="1">
      <alignment horizontal="right" vertical="bottom" wrapText="1"/>
      <protection locked="0"/>
    </xf>
    <xf numFmtId="0" fontId="7" fillId="0" borderId="11" xfId="1">
      <alignment horizontal="center" vertical="center" wrapText="1"/>
      <protection locked="0"/>
    </xf>
    <xf numFmtId="0" fontId="7" fillId="0" borderId="14" xfId="1">
      <alignment horizontal="center" vertical="center" wrapText="1"/>
      <protection locked="0"/>
    </xf>
    <xf numFmtId="0" fontId="7" fillId="0" borderId="15" xfId="1">
      <alignment horizontal="center" vertical="center"/>
      <protection locked="0"/>
    </xf>
    <xf numFmtId="0" fontId="7" fillId="0" borderId="15" xfId="1">
      <alignment horizontal="center" vertical="center" wrapText="1"/>
      <protection locked="0"/>
    </xf>
    <xf numFmtId="3" fontId="7" fillId="0" borderId="6" xfId="1">
      <alignment horizontal="center" vertical="center"/>
    </xf>
    <xf numFmtId="0" fontId="3" fillId="0" borderId="6" xfId="1" quotePrefix="1">
      <alignment horizontal="left" vertical="center" wrapText="1"/>
    </xf>
    <xf numFmtId="0" fontId="8" fillId="0" borderId="2" xfId="1">
      <alignment horizontal="center" vertical="top"/>
      <protection locked="0"/>
    </xf>
    <xf numFmtId="0" fontId="32" fillId="0" borderId="0" xfId="1" quotePrefix="1">
      <alignment horizontal="center" vertical="center" wrapText="1"/>
    </xf>
    <xf numFmtId="0" fontId="15" fillId="0" borderId="0" xfId="1">
      <alignment horizontal="right" vertical="bottom" wrapText="1"/>
    </xf>
    <xf numFmtId="0" fontId="7" fillId="0" borderId="17" xfId="1">
      <alignment horizontal="center" vertical="center" wrapText="1"/>
    </xf>
    <xf numFmtId="0" fontId="28" fillId="0" borderId="2" xfId="1">
      <alignment horizontal="center" vertical="center"/>
    </xf>
    <xf numFmtId="0" fontId="28" fillId="0" borderId="2" xfId="1">
      <alignment horizontal="center" vertical="center"/>
      <protection locked="0"/>
    </xf>
    <xf numFmtId="0" fontId="33" fillId="0" borderId="0" xfId="1">
      <alignment horizontal="center" vertical="center"/>
      <protection locked="0"/>
    </xf>
    <xf numFmtId="0" fontId="15" fillId="0" borderId="0" xfId="1">
      <alignment vertical="center"/>
    </xf>
    <xf numFmtId="0" fontId="24" fillId="0" borderId="0" xfId="1">
      <alignment horizontal="right" vertical="center" wrapText="1"/>
    </xf>
    <xf numFmtId="0" fontId="7" fillId="0" borderId="3" xfId="1">
      <alignment horizontal="center" vertical="center" wrapText="1"/>
    </xf>
    <xf numFmtId="0" fontId="18" fillId="0" borderId="2" xfId="0">
      <alignment horizontal="center" vertical="center" wrapText="1"/>
    </xf>
    <xf numFmtId="0" fontId="17" fillId="0" borderId="0" xfId="0">
      <alignment horizontal="center" vertical="center"/>
      <protection locked="0"/>
    </xf>
    <xf numFmtId="0" fontId="3" fillId="0" borderId="2" xfId="1">
      <alignment horizontal="right" vertical="center" wrapText="1"/>
    </xf>
    <xf numFmtId="0" fontId="24" fillId="0" borderId="2" xfId="1">
      <alignment horizontal="center" vertical="center"/>
    </xf>
    <xf numFmtId="0" fontId="15" fillId="0" borderId="0" xfId="1">
      <alignment horizontal="right" vertical="center"/>
      <protection locked="0"/>
    </xf>
    <xf numFmtId="170" fontId="8" fillId="0" borderId="2" xfId="0">
      <alignment horizontal="right" vertical="center"/>
      <protection locked="0"/>
    </xf>
    <xf numFmtId="0" fontId="8" fillId="0" borderId="2" xfId="0">
      <alignment horizontal="center" vertical="center"/>
      <protection locked="0"/>
    </xf>
    <xf numFmtId="0" fontId="7" fillId="0" borderId="5" xfId="1" quotePrefix="1">
      <alignment horizontal="center" vertical="center" wrapText="1"/>
      <protection locked="0"/>
    </xf>
    <xf numFmtId="0" fontId="8" fillId="0" borderId="2" xfId="1">
      <alignment horizontal="left" vertical="center"/>
      <protection locked="0"/>
    </xf>
    <xf numFmtId="0" fontId="8" fillId="0" borderId="2" xfId="1">
      <alignment horizontal="left" vertical="center" wrapText="1" indent="1"/>
      <protection locked="0"/>
    </xf>
  </cellXfs>
  <cellStyles count="9">
    <cellStyle name="Normal" xfId="1" builtinId="0"/>
    <cellStyle name="NumberStyle" xfId="2"/>
    <cellStyle name="TextStyle" xfId="3"/>
    <cellStyle name="MoneyStyle" xfId="2"/>
    <cellStyle name="TimeStyle" xfId="4"/>
    <cellStyle name="DateStyle" xfId="5"/>
    <cellStyle name="DateTimeStyle" xfId="6"/>
    <cellStyle name="PercentStyle" xfId="7"/>
    <cellStyle name="IntegralNumberStyle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sharedStrings" Target="sharedStrings.xml"/><Relationship Id="rId19" Type="http://schemas.openxmlformats.org/officeDocument/2006/relationships/styles" Target="style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A8F54B3-7A38-3D7D-DA58-80E5263BCD3D}" mc:Ignorable="x14ac xr xr2 xr3">
  <sheetPr>
    <outlinePr summaryBelow="0" summaryRight="0"/>
  </sheetPr>
  <dimension ref="A1:D37"/>
  <sheetViews>
    <sheetView showZeros="0" topLeftCell="A1" workbookViewId="0" tabSelected="1">
      <selection activeCell="A1" sqref="A1"/>
    </sheetView>
  </sheetViews>
  <sheetFormatPr defaultRowHeight="12" defaultColWidth="9.140625" customHeight="1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r="1" ht="15" customHeight="1">
      <c r="D1" s="1" t="s">
        <v>0</v>
      </c>
    </row>
    <row r="2" ht="36" customHeight="1">
      <c r="A2" s="2" t="str">
        <f>"2025"&amp;"年部门财务收支预算总表"</f>
        <v>2025年部门财务收支预算总表</v>
      </c>
      <c r="B2" s="3"/>
      <c r="C2" s="3"/>
      <c r="D2" s="3"/>
    </row>
    <row r="3" ht="18.75" customHeight="1">
      <c r="A3" s="4" t="str">
        <f>"单位名称："&amp;"耿马傣族佤族自治县勐永镇"</f>
        <v>单位名称：耿马傣族佤族自治县勐永镇</v>
      </c>
      <c r="B3" s="5"/>
      <c r="C3" s="5"/>
      <c r="D3" s="1" t="s">
        <v>3</v>
      </c>
    </row>
    <row r="4" ht="18.75" customHeight="1">
      <c r="A4" s="6" t="s">
        <v>4</v>
      </c>
      <c r="B4" s="7"/>
      <c r="C4" s="6" t="s">
        <v>5</v>
      </c>
      <c r="D4" s="7"/>
    </row>
    <row r="5" ht="18.75" customHeight="1">
      <c r="A5" s="8" t="s">
        <v>6</v>
      </c>
      <c r="B5" s="9" t="str">
        <f t="shared" si="0" ref="B5:D5">"2025"&amp;"年预算数"</f>
        <v>2025年预算数</v>
      </c>
      <c r="C5" s="8" t="s">
        <v>8</v>
      </c>
      <c r="D5" s="9" t="str">
        <f t="shared" si="0"/>
        <v>2025年预算数</v>
      </c>
    </row>
    <row r="6" ht="18.75" customHeight="1">
      <c r="A6" s="10"/>
      <c r="B6" s="10"/>
      <c r="C6" s="10"/>
      <c r="D6" s="10"/>
    </row>
    <row r="7" ht="18.75" customHeight="1">
      <c r="A7" s="11" t="s">
        <v>9</v>
      </c>
      <c r="B7" s="12">
        <v>17142997.05</v>
      </c>
      <c r="C7" s="11" t="s">
        <v>10</v>
      </c>
      <c r="D7" s="12">
        <v>8892658.47</v>
      </c>
    </row>
    <row r="8" ht="18.75" customHeight="1">
      <c r="A8" s="11" t="s">
        <v>11</v>
      </c>
      <c r="B8" s="12"/>
      <c r="C8" s="11" t="s">
        <v>12</v>
      </c>
      <c r="D8" s="12"/>
    </row>
    <row r="9" ht="18.75" customHeight="1">
      <c r="A9" s="11" t="s">
        <v>13</v>
      </c>
      <c r="B9" s="12"/>
      <c r="C9" s="11" t="s">
        <v>14</v>
      </c>
      <c r="D9" s="12"/>
    </row>
    <row r="10" ht="18.75" customHeight="1">
      <c r="A10" s="11" t="s">
        <v>15</v>
      </c>
      <c r="B10" s="12"/>
      <c r="C10" s="11" t="s">
        <v>16</v>
      </c>
      <c r="D10" s="12">
        <v>13440</v>
      </c>
    </row>
    <row r="11" ht="18.75" customHeight="1">
      <c r="A11" s="13" t="s">
        <v>17</v>
      </c>
      <c r="B11" s="12"/>
      <c r="C11" s="14" t="s">
        <v>18</v>
      </c>
      <c r="D11" s="12"/>
    </row>
    <row r="12" ht="18.75" customHeight="1">
      <c r="A12" s="15" t="s">
        <v>19</v>
      </c>
      <c r="B12" s="12"/>
      <c r="C12" s="16" t="s">
        <v>20</v>
      </c>
      <c r="D12" s="12"/>
    </row>
    <row r="13" ht="18.75" customHeight="1">
      <c r="A13" s="15" t="s">
        <v>21</v>
      </c>
      <c r="B13" s="12"/>
      <c r="C13" s="16" t="s">
        <v>22</v>
      </c>
      <c r="D13" s="12">
        <v>42000</v>
      </c>
    </row>
    <row r="14" ht="18.75" customHeight="1">
      <c r="A14" s="15" t="s">
        <v>23</v>
      </c>
      <c r="B14" s="12"/>
      <c r="C14" s="16" t="s">
        <v>24</v>
      </c>
      <c r="D14" s="12">
        <v>1962195.84</v>
      </c>
    </row>
    <row r="15" ht="18.75" customHeight="1">
      <c r="A15" s="15" t="s">
        <v>25</v>
      </c>
      <c r="B15" s="12"/>
      <c r="C15" s="16" t="s">
        <v>26</v>
      </c>
      <c r="D15" s="12">
        <v>558298.92</v>
      </c>
    </row>
    <row r="16" ht="18.75" customHeight="1">
      <c r="A16" s="15" t="s">
        <v>27</v>
      </c>
      <c r="B16" s="12"/>
      <c r="C16" s="15" t="s">
        <v>28</v>
      </c>
      <c r="D16" s="12">
        <v>200000</v>
      </c>
    </row>
    <row r="17" ht="18.75" customHeight="1">
      <c r="A17" s="15" t="s">
        <v>29</v>
      </c>
      <c r="B17" s="12"/>
      <c r="C17" s="15" t="s">
        <v>30</v>
      </c>
      <c r="D17" s="12">
        <v>1304074.28</v>
      </c>
    </row>
    <row r="18" ht="18.75" customHeight="1">
      <c r="A18" s="17" t="s">
        <v>29</v>
      </c>
      <c r="B18" s="12"/>
      <c r="C18" s="16" t="s">
        <v>31</v>
      </c>
      <c r="D18" s="12">
        <v>3331084.74</v>
      </c>
    </row>
    <row r="19" ht="18.75" customHeight="1">
      <c r="A19" s="17" t="s">
        <v>29</v>
      </c>
      <c r="B19" s="12"/>
      <c r="C19" s="16" t="s">
        <v>32</v>
      </c>
      <c r="D19" s="12"/>
    </row>
    <row r="20" ht="18.75" customHeight="1">
      <c r="A20" s="17" t="s">
        <v>29</v>
      </c>
      <c r="B20" s="12"/>
      <c r="C20" s="16" t="s">
        <v>33</v>
      </c>
      <c r="D20" s="12"/>
    </row>
    <row r="21" ht="18.75" customHeight="1">
      <c r="A21" s="17" t="s">
        <v>29</v>
      </c>
      <c r="B21" s="12"/>
      <c r="C21" s="16" t="s">
        <v>34</v>
      </c>
      <c r="D21" s="12"/>
    </row>
    <row r="22" ht="18.75" customHeight="1">
      <c r="A22" s="17" t="s">
        <v>29</v>
      </c>
      <c r="B22" s="12"/>
      <c r="C22" s="16" t="s">
        <v>35</v>
      </c>
      <c r="D22" s="12"/>
    </row>
    <row r="23" ht="18.75" customHeight="1">
      <c r="A23" s="17" t="s">
        <v>29</v>
      </c>
      <c r="B23" s="12"/>
      <c r="C23" s="16" t="s">
        <v>36</v>
      </c>
      <c r="D23" s="12"/>
    </row>
    <row r="24" ht="18.75" customHeight="1">
      <c r="A24" s="17" t="s">
        <v>29</v>
      </c>
      <c r="B24" s="12"/>
      <c r="C24" s="16" t="s">
        <v>37</v>
      </c>
      <c r="D24" s="12"/>
    </row>
    <row r="25" ht="18.75" customHeight="1">
      <c r="A25" s="17" t="s">
        <v>29</v>
      </c>
      <c r="B25" s="12"/>
      <c r="C25" s="16" t="s">
        <v>38</v>
      </c>
      <c r="D25" s="12">
        <v>781444.8</v>
      </c>
    </row>
    <row r="26" ht="18.75" customHeight="1">
      <c r="A26" s="17" t="s">
        <v>29</v>
      </c>
      <c r="B26" s="12"/>
      <c r="C26" s="16" t="s">
        <v>39</v>
      </c>
      <c r="D26" s="12"/>
    </row>
    <row r="27" ht="18.75" customHeight="1">
      <c r="A27" s="17" t="s">
        <v>29</v>
      </c>
      <c r="B27" s="12"/>
      <c r="C27" s="16" t="s">
        <v>40</v>
      </c>
      <c r="D27" s="12"/>
    </row>
    <row r="28" ht="18.75" customHeight="1">
      <c r="A28" s="17" t="s">
        <v>29</v>
      </c>
      <c r="B28" s="12"/>
      <c r="C28" s="16" t="s">
        <v>41</v>
      </c>
      <c r="D28" s="12">
        <v>57800</v>
      </c>
    </row>
    <row r="29" ht="18.75" customHeight="1">
      <c r="A29" s="17" t="s">
        <v>29</v>
      </c>
      <c r="B29" s="12"/>
      <c r="C29" s="16" t="s">
        <v>42</v>
      </c>
      <c r="D29" s="12"/>
    </row>
    <row r="30" ht="18.75" customHeight="1">
      <c r="A30" s="18" t="s">
        <v>29</v>
      </c>
      <c r="B30" s="12"/>
      <c r="C30" s="15" t="s">
        <v>43</v>
      </c>
      <c r="D30" s="12"/>
    </row>
    <row r="31" ht="18.75" customHeight="1">
      <c r="A31" s="18" t="s">
        <v>29</v>
      </c>
      <c r="B31" s="12"/>
      <c r="C31" s="15" t="s">
        <v>44</v>
      </c>
      <c r="D31" s="12"/>
    </row>
    <row r="32" ht="18.75" customHeight="1">
      <c r="A32" s="18" t="s">
        <v>29</v>
      </c>
      <c r="B32" s="12"/>
      <c r="C32" s="15" t="s">
        <v>45</v>
      </c>
      <c r="D32" s="12"/>
    </row>
    <row r="33" ht="18.75" customHeight="1">
      <c r="A33" s="19" t="s">
        <v>46</v>
      </c>
      <c r="B33" s="20">
        <f>SUM(B7:B11)</f>
        <v>17142997.05</v>
      </c>
      <c r="C33" s="21" t="s">
        <v>47</v>
      </c>
      <c r="D33" s="20">
        <v>17142997.05</v>
      </c>
    </row>
    <row r="34" ht="18.75" customHeight="1">
      <c r="A34" s="22" t="s">
        <v>48</v>
      </c>
      <c r="B34" s="12"/>
      <c r="C34" s="11" t="s">
        <v>49</v>
      </c>
      <c r="D34" s="12"/>
    </row>
    <row r="35" ht="18.75" customHeight="1">
      <c r="A35" s="22" t="s">
        <v>50</v>
      </c>
      <c r="B35" s="12"/>
      <c r="C35" s="11" t="s">
        <v>50</v>
      </c>
      <c r="D35" s="12"/>
    </row>
    <row r="36" ht="18.75" customHeight="1">
      <c r="A36" s="22" t="s">
        <v>51</v>
      </c>
      <c r="B36" s="12"/>
      <c r="C36" s="11" t="s">
        <v>52</v>
      </c>
      <c r="D36" s="12"/>
    </row>
    <row r="37" ht="18.75" customHeight="1">
      <c r="A37" s="23" t="s">
        <v>53</v>
      </c>
      <c r="B37" s="20">
        <f t="shared" si="1" ref="B37:D37">B33+B34</f>
        <v>17142997.05</v>
      </c>
      <c r="C37" s="21" t="s">
        <v>54</v>
      </c>
      <c r="D37" s="20">
        <f t="shared" si="1"/>
        <v>17142997.05</v>
      </c>
    </row>
  </sheetData>
  <mergeCells>
    <mergeCell ref="A2:D2"/>
    <mergeCell ref="A3:B3"/>
    <mergeCell ref="A4:B4"/>
    <mergeCell ref="C4:D4"/>
    <mergeCell ref="A5:A6"/>
    <mergeCell ref="B5:B6"/>
    <mergeCell ref="C5:C6"/>
    <mergeCell ref="D5:D6"/>
  </mergeCells>
  <extLst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5D563E-67E1-FE8D-1E5F-D605BCE41FA3}" mc:Ignorable="x14ac xr xr2 xr3">
  <sheetPr>
    <outlinePr summaryBelow="0" summaryRight="0"/>
  </sheetPr>
  <dimension ref="A1:S9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r="1" ht="19.5" customHeight="1">
      <c r="J1" s="24"/>
      <c r="O1" s="25"/>
      <c r="P1" s="25"/>
      <c r="Q1" s="25"/>
      <c r="R1" s="25"/>
      <c r="S1" s="26" t="s">
        <v>55</v>
      </c>
    </row>
    <row r="2" ht="57.75" customHeight="1">
      <c r="A2" s="27" t="str">
        <f>"2025"&amp;"年部门收入预算表"</f>
        <v>2025年部门收入预算表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9"/>
    </row>
    <row r="3" ht="18.75" customHeight="1">
      <c r="A3" s="4" t="str">
        <f>"单位名称："&amp;"耿马傣族佤族自治县勐永镇"</f>
        <v>单位名称：耿马傣族佤族自治县勐永镇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1"/>
      <c r="P3" s="31"/>
      <c r="Q3" s="31"/>
      <c r="R3" s="31"/>
      <c r="S3" s="26" t="s">
        <v>3</v>
      </c>
    </row>
    <row r="4" ht="18.75" customHeight="1">
      <c r="A4" s="32" t="s">
        <v>57</v>
      </c>
      <c r="B4" s="33" t="s">
        <v>58</v>
      </c>
      <c r="C4" s="33" t="s">
        <v>59</v>
      </c>
      <c r="D4" s="34" t="s">
        <v>60</v>
      </c>
      <c r="E4" s="35"/>
      <c r="F4" s="35"/>
      <c r="G4" s="35"/>
      <c r="H4" s="35"/>
      <c r="I4" s="35"/>
      <c r="J4" s="36"/>
      <c r="K4" s="35"/>
      <c r="L4" s="35"/>
      <c r="M4" s="35"/>
      <c r="N4" s="37"/>
      <c r="O4" s="34" t="s">
        <v>48</v>
      </c>
      <c r="P4" s="34"/>
      <c r="Q4" s="34"/>
      <c r="R4" s="34"/>
      <c r="S4" s="38"/>
    </row>
    <row r="5" ht="18.75" customHeight="1">
      <c r="A5" s="39"/>
      <c r="B5" s="40"/>
      <c r="C5" s="40"/>
      <c r="D5" s="41" t="s">
        <v>61</v>
      </c>
      <c r="E5" s="41" t="s">
        <v>62</v>
      </c>
      <c r="F5" s="41" t="s">
        <v>63</v>
      </c>
      <c r="G5" s="41" t="s">
        <v>64</v>
      </c>
      <c r="H5" s="41" t="s">
        <v>65</v>
      </c>
      <c r="I5" s="42" t="s">
        <v>66</v>
      </c>
      <c r="J5" s="42"/>
      <c r="K5" s="42"/>
      <c r="L5" s="42"/>
      <c r="M5" s="42"/>
      <c r="N5" s="43"/>
      <c r="O5" s="41" t="s">
        <v>61</v>
      </c>
      <c r="P5" s="41" t="s">
        <v>62</v>
      </c>
      <c r="Q5" s="41" t="s">
        <v>63</v>
      </c>
      <c r="R5" s="41" t="s">
        <v>64</v>
      </c>
      <c r="S5" s="41" t="s">
        <v>67</v>
      </c>
    </row>
    <row r="6" ht="18.75" customHeight="1">
      <c r="A6" s="44"/>
      <c r="B6" s="45"/>
      <c r="C6" s="45"/>
      <c r="D6" s="43"/>
      <c r="E6" s="43"/>
      <c r="F6" s="43"/>
      <c r="G6" s="43"/>
      <c r="H6" s="43"/>
      <c r="I6" s="45" t="s">
        <v>61</v>
      </c>
      <c r="J6" s="45" t="s">
        <v>68</v>
      </c>
      <c r="K6" s="45" t="s">
        <v>69</v>
      </c>
      <c r="L6" s="45" t="s">
        <v>70</v>
      </c>
      <c r="M6" s="45" t="s">
        <v>71</v>
      </c>
      <c r="N6" s="45" t="s">
        <v>72</v>
      </c>
      <c r="O6" s="46"/>
      <c r="P6" s="46"/>
      <c r="Q6" s="46"/>
      <c r="R6" s="46"/>
      <c r="S6" s="43"/>
    </row>
    <row r="7" ht="18.75" customHeight="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  <c r="R7" s="47">
        <v>18</v>
      </c>
      <c r="S7" s="47">
        <v>19</v>
      </c>
    </row>
    <row r="8" ht="18.75" customHeight="1">
      <c r="A8" s="48" t="s">
        <v>73</v>
      </c>
      <c r="B8" s="49" t="s">
        <v>74</v>
      </c>
      <c r="C8" s="12">
        <v>17142997.05</v>
      </c>
      <c r="D8" s="12">
        <v>17142997.05</v>
      </c>
      <c r="E8" s="12">
        <v>17142997.05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8.75" customHeight="1">
      <c r="A9" s="50" t="s">
        <v>59</v>
      </c>
      <c r="B9" s="51"/>
      <c r="C9" s="12">
        <v>17142997.05</v>
      </c>
      <c r="D9" s="12">
        <v>17142997.05</v>
      </c>
      <c r="E9" s="12">
        <v>17142997.05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</sheetData>
  <mergeCells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P5:P6"/>
    <mergeCell ref="Q5:Q6"/>
    <mergeCell ref="A9:B9"/>
  </mergeCells>
  <extLst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931464-9E5E-76BF-5BDB-C544B13A6F13}" mc:Ignorable="x14ac xr xr2 xr3">
  <sheetPr>
    <outlinePr summaryBelow="0" summaryRight="0"/>
  </sheetPr>
  <dimension ref="A1:O81"/>
  <sheetViews>
    <sheetView showZeros="0" topLeftCell="G1" workbookViewId="0" tabSelected="1">
      <selection activeCell="A1" sqref="A1"/>
    </sheetView>
  </sheetViews>
  <sheetFormatPr defaultRowHeight="14.25" defaultColWidth="9.140625" customHeight="1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r="1" ht="19.5" customHeight="1">
      <c r="D1" s="24"/>
      <c r="H1" s="24"/>
      <c r="J1" s="24"/>
      <c r="O1" s="1" t="s">
        <v>75</v>
      </c>
    </row>
    <row r="2" ht="42" customHeight="1">
      <c r="A2" s="52" t="str">
        <f>"2025"&amp;"年部门支出预算表"</f>
        <v>2025年部门支出预算表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ht="18.75" customHeight="1">
      <c r="A3" s="54" t="str">
        <f>"单位名称："&amp;"耿马傣族佤族自治县勐永镇"</f>
        <v>单位名称：耿马傣族佤族自治县勐永镇</v>
      </c>
      <c r="B3" s="55"/>
      <c r="C3" s="56"/>
      <c r="D3" s="57"/>
      <c r="E3" s="56"/>
      <c r="F3" s="56"/>
      <c r="G3" s="56"/>
      <c r="H3" s="57"/>
      <c r="I3" s="56"/>
      <c r="J3" s="57"/>
      <c r="K3" s="56"/>
      <c r="L3" s="56"/>
      <c r="M3" s="58"/>
      <c r="N3" s="58"/>
      <c r="O3" s="1" t="s">
        <v>3</v>
      </c>
    </row>
    <row r="4" ht="18.75" customHeight="1">
      <c r="A4" s="59" t="s">
        <v>77</v>
      </c>
      <c r="B4" s="59" t="s">
        <v>78</v>
      </c>
      <c r="C4" s="59" t="s">
        <v>59</v>
      </c>
      <c r="D4" s="6" t="s">
        <v>62</v>
      </c>
      <c r="E4" s="60" t="s">
        <v>79</v>
      </c>
      <c r="F4" s="61" t="s">
        <v>80</v>
      </c>
      <c r="G4" s="59" t="s">
        <v>63</v>
      </c>
      <c r="H4" s="59" t="s">
        <v>64</v>
      </c>
      <c r="I4" s="59" t="s">
        <v>81</v>
      </c>
      <c r="J4" s="6" t="s">
        <v>82</v>
      </c>
      <c r="K4" s="62"/>
      <c r="L4" s="62"/>
      <c r="M4" s="62"/>
      <c r="N4" s="62"/>
      <c r="O4" s="7"/>
    </row>
    <row r="5" ht="29.25" customHeight="1">
      <c r="A5" s="63"/>
      <c r="B5" s="63"/>
      <c r="C5" s="63"/>
      <c r="D5" s="64" t="s">
        <v>61</v>
      </c>
      <c r="E5" s="65" t="s">
        <v>79</v>
      </c>
      <c r="F5" s="65" t="s">
        <v>80</v>
      </c>
      <c r="G5" s="63"/>
      <c r="H5" s="63"/>
      <c r="I5" s="63"/>
      <c r="J5" s="64" t="s">
        <v>61</v>
      </c>
      <c r="K5" s="66" t="s">
        <v>83</v>
      </c>
      <c r="L5" s="66" t="s">
        <v>84</v>
      </c>
      <c r="M5" s="66" t="s">
        <v>85</v>
      </c>
      <c r="N5" s="66" t="s">
        <v>86</v>
      </c>
      <c r="O5" s="66" t="s">
        <v>87</v>
      </c>
    </row>
    <row r="6" ht="18.75" customHeight="1">
      <c r="A6" s="67">
        <v>1</v>
      </c>
      <c r="B6" s="6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  <c r="M6" s="47">
        <v>13</v>
      </c>
      <c r="N6" s="47">
        <v>14</v>
      </c>
      <c r="O6" s="47">
        <v>15</v>
      </c>
    </row>
    <row r="7" ht="18.75" customHeight="1">
      <c r="A7" s="68" t="s">
        <v>88</v>
      </c>
      <c r="B7" s="68" t="s">
        <v>89</v>
      </c>
      <c r="C7" s="12">
        <v>8892658.47</v>
      </c>
      <c r="D7" s="12">
        <v>8892658.47</v>
      </c>
      <c r="E7" s="12">
        <v>8748158.47</v>
      </c>
      <c r="F7" s="12">
        <v>144500</v>
      </c>
      <c r="G7" s="12"/>
      <c r="H7" s="12"/>
      <c r="I7" s="12"/>
      <c r="J7" s="12"/>
      <c r="K7" s="12"/>
      <c r="L7" s="12"/>
      <c r="M7" s="12"/>
      <c r="N7" s="12"/>
      <c r="O7" s="12"/>
    </row>
    <row r="8" ht="18.75" customHeight="1">
      <c r="A8" s="69" t="str">
        <f>" "&amp;"20101"</f>
        <v> 20101</v>
      </c>
      <c r="B8" s="69" t="str">
        <f>"  "&amp;"人大事务"</f>
        <v>  人大事务</v>
      </c>
      <c r="C8" s="12">
        <v>187318.68</v>
      </c>
      <c r="D8" s="12">
        <v>187318.68</v>
      </c>
      <c r="E8" s="12">
        <v>157318.68</v>
      </c>
      <c r="F8" s="12">
        <v>30000</v>
      </c>
      <c r="G8" s="12"/>
      <c r="H8" s="12"/>
      <c r="I8" s="12"/>
      <c r="J8" s="12"/>
      <c r="K8" s="12"/>
      <c r="L8" s="12"/>
      <c r="M8" s="12"/>
      <c r="N8" s="12"/>
      <c r="O8" s="12"/>
    </row>
    <row r="9" ht="18.75" customHeight="1">
      <c r="A9" s="70" t="str">
        <f>"  "&amp;"2010101"</f>
        <v>  2010101</v>
      </c>
      <c r="B9" s="71" t="str">
        <f t="shared" si="0" ref="B9:B78">"    "&amp;"行政运行"</f>
        <v>    行政运行</v>
      </c>
      <c r="C9" s="12">
        <v>157318.68</v>
      </c>
      <c r="D9" s="12">
        <v>157318.68</v>
      </c>
      <c r="E9" s="12">
        <v>157318.68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8.75" customHeight="1">
      <c r="A10" s="70" t="str">
        <f>"  "&amp;"2010102"</f>
        <v>  2010102</v>
      </c>
      <c r="B10" s="71" t="str">
        <f t="shared" si="1" ref="B10:B13">"    "&amp;"一般行政管理事务"</f>
        <v>    一般行政管理事务</v>
      </c>
      <c r="C10" s="12">
        <v>30000</v>
      </c>
      <c r="D10" s="12">
        <v>30000</v>
      </c>
      <c r="E10" s="12"/>
      <c r="F10" s="12">
        <v>30000</v>
      </c>
      <c r="G10" s="12"/>
      <c r="H10" s="12"/>
      <c r="I10" s="12"/>
      <c r="J10" s="12"/>
      <c r="K10" s="12"/>
      <c r="L10" s="12"/>
      <c r="M10" s="12"/>
      <c r="N10" s="12"/>
      <c r="O10" s="12"/>
    </row>
    <row r="11" ht="18.75" customHeight="1">
      <c r="A11" s="69" t="str">
        <f>" "&amp;"20103"</f>
        <v> 20103</v>
      </c>
      <c r="B11" s="69" t="str">
        <f>"  "&amp;"政府办公厅（室）及相关机构事务"</f>
        <v>  政府办公厅（室）及相关机构事务</v>
      </c>
      <c r="C11" s="12">
        <v>6013872.52</v>
      </c>
      <c r="D11" s="12">
        <v>6013872.52</v>
      </c>
      <c r="E11" s="12">
        <v>5912372.52</v>
      </c>
      <c r="F11" s="12">
        <v>101500</v>
      </c>
      <c r="G11" s="12"/>
      <c r="H11" s="12"/>
      <c r="I11" s="12"/>
      <c r="J11" s="12"/>
      <c r="K11" s="12"/>
      <c r="L11" s="12"/>
      <c r="M11" s="12"/>
      <c r="N11" s="12"/>
      <c r="O11" s="12"/>
    </row>
    <row r="12" ht="18.75" customHeight="1">
      <c r="A12" s="70" t="str">
        <f>"  "&amp;"2010301"</f>
        <v>  2010301</v>
      </c>
      <c r="B12" s="71" t="str">
        <f t="shared" si="0"/>
        <v>    行政运行</v>
      </c>
      <c r="C12" s="12">
        <v>5912372.52</v>
      </c>
      <c r="D12" s="12">
        <v>5912372.52</v>
      </c>
      <c r="E12" s="12">
        <v>5912372.52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18.75" customHeight="1">
      <c r="A13" s="70" t="str">
        <f>"  "&amp;"2010302"</f>
        <v>  2010302</v>
      </c>
      <c r="B13" s="71" t="str">
        <f t="shared" si="1"/>
        <v>    一般行政管理事务</v>
      </c>
      <c r="C13" s="12">
        <v>70000</v>
      </c>
      <c r="D13" s="12">
        <v>70000</v>
      </c>
      <c r="E13" s="12"/>
      <c r="F13" s="12">
        <v>70000</v>
      </c>
      <c r="G13" s="12"/>
      <c r="H13" s="12"/>
      <c r="I13" s="12"/>
      <c r="J13" s="12"/>
      <c r="K13" s="12"/>
      <c r="L13" s="12"/>
      <c r="M13" s="12"/>
      <c r="N13" s="12"/>
      <c r="O13" s="12"/>
    </row>
    <row r="14" ht="18.75" customHeight="1">
      <c r="A14" s="70" t="str">
        <f>"  "&amp;"2010399"</f>
        <v>  2010399</v>
      </c>
      <c r="B14" s="71" t="str">
        <f>"    "&amp;"其他政府办公厅（室）及相关机构事务支出"</f>
        <v>    其他政府办公厅（室）及相关机构事务支出</v>
      </c>
      <c r="C14" s="12">
        <v>31500</v>
      </c>
      <c r="D14" s="12">
        <v>31500</v>
      </c>
      <c r="E14" s="12"/>
      <c r="F14" s="12">
        <v>31500</v>
      </c>
      <c r="G14" s="12"/>
      <c r="H14" s="12"/>
      <c r="I14" s="12"/>
      <c r="J14" s="12"/>
      <c r="K14" s="12"/>
      <c r="L14" s="12"/>
      <c r="M14" s="12"/>
      <c r="N14" s="12"/>
      <c r="O14" s="12"/>
    </row>
    <row r="15" ht="18.75" customHeight="1">
      <c r="A15" s="69" t="str">
        <f>" "&amp;"20104"</f>
        <v> 20104</v>
      </c>
      <c r="B15" s="69" t="str">
        <f>"  "&amp;"发展与改革事务"</f>
        <v>  发展与改革事务</v>
      </c>
      <c r="C15" s="12">
        <v>3000</v>
      </c>
      <c r="D15" s="12">
        <v>3000</v>
      </c>
      <c r="E15" s="12"/>
      <c r="F15" s="12">
        <v>3000</v>
      </c>
      <c r="G15" s="12"/>
      <c r="H15" s="12"/>
      <c r="I15" s="12"/>
      <c r="J15" s="12"/>
      <c r="K15" s="12"/>
      <c r="L15" s="12"/>
      <c r="M15" s="12"/>
      <c r="N15" s="12"/>
      <c r="O15" s="12"/>
    </row>
    <row r="16" ht="18.75" customHeight="1">
      <c r="A16" s="70" t="str">
        <f>"  "&amp;"2010406"</f>
        <v>  2010406</v>
      </c>
      <c r="B16" s="71" t="str">
        <f>"    "&amp;"社会事业发展规划"</f>
        <v>    社会事业发展规划</v>
      </c>
      <c r="C16" s="12">
        <v>3000</v>
      </c>
      <c r="D16" s="12">
        <v>3000</v>
      </c>
      <c r="E16" s="12"/>
      <c r="F16" s="12">
        <v>3000</v>
      </c>
      <c r="G16" s="12"/>
      <c r="H16" s="12"/>
      <c r="I16" s="12"/>
      <c r="J16" s="12"/>
      <c r="K16" s="12"/>
      <c r="L16" s="12"/>
      <c r="M16" s="12"/>
      <c r="N16" s="12"/>
      <c r="O16" s="12"/>
    </row>
    <row r="17" ht="18.75" customHeight="1">
      <c r="A17" s="69" t="str">
        <f>" "&amp;"20105"</f>
        <v> 20105</v>
      </c>
      <c r="B17" s="69" t="str">
        <f>"  "&amp;"统计信息事务"</f>
        <v>  统计信息事务</v>
      </c>
      <c r="C17" s="12">
        <v>10000</v>
      </c>
      <c r="D17" s="12">
        <v>10000</v>
      </c>
      <c r="E17" s="12"/>
      <c r="F17" s="12">
        <v>10000</v>
      </c>
      <c r="G17" s="12"/>
      <c r="H17" s="12"/>
      <c r="I17" s="12"/>
      <c r="J17" s="12"/>
      <c r="K17" s="12"/>
      <c r="L17" s="12"/>
      <c r="M17" s="12"/>
      <c r="N17" s="12"/>
      <c r="O17" s="12"/>
    </row>
    <row r="18" ht="18.75" customHeight="1">
      <c r="A18" s="70" t="str">
        <f>"  "&amp;"2010508"</f>
        <v>  2010508</v>
      </c>
      <c r="B18" s="71" t="str">
        <f>"    "&amp;"统计抽样调查"</f>
        <v>    统计抽样调查</v>
      </c>
      <c r="C18" s="12">
        <v>10000</v>
      </c>
      <c r="D18" s="12">
        <v>10000</v>
      </c>
      <c r="E18" s="12"/>
      <c r="F18" s="12">
        <v>10000</v>
      </c>
      <c r="G18" s="12"/>
      <c r="H18" s="12"/>
      <c r="I18" s="12"/>
      <c r="J18" s="12"/>
      <c r="K18" s="12"/>
      <c r="L18" s="12"/>
      <c r="M18" s="12"/>
      <c r="N18" s="12"/>
      <c r="O18" s="12"/>
    </row>
    <row r="19" ht="18.75" customHeight="1">
      <c r="A19" s="69" t="str">
        <f>" "&amp;"20111"</f>
        <v> 20111</v>
      </c>
      <c r="B19" s="69" t="str">
        <f>"  "&amp;"纪检监察事务"</f>
        <v>  纪检监察事务</v>
      </c>
      <c r="C19" s="12">
        <v>298394.68</v>
      </c>
      <c r="D19" s="12">
        <v>298394.68</v>
      </c>
      <c r="E19" s="12">
        <v>298394.68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8.75" customHeight="1">
      <c r="A20" s="70" t="str">
        <f>"  "&amp;"2011101"</f>
        <v>  2011101</v>
      </c>
      <c r="B20" s="71" t="str">
        <f t="shared" si="0"/>
        <v>    行政运行</v>
      </c>
      <c r="C20" s="12">
        <v>298394.68</v>
      </c>
      <c r="D20" s="12">
        <v>298394.68</v>
      </c>
      <c r="E20" s="12">
        <v>298394.68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8.75" customHeight="1">
      <c r="A21" s="69" t="str">
        <f>" "&amp;"20131"</f>
        <v> 20131</v>
      </c>
      <c r="B21" s="69" t="str">
        <f>"  "&amp;"党委办公厅（室）及相关机构事务"</f>
        <v>  党委办公厅（室）及相关机构事务</v>
      </c>
      <c r="C21" s="12">
        <v>935796.64</v>
      </c>
      <c r="D21" s="12">
        <v>935796.64</v>
      </c>
      <c r="E21" s="12">
        <v>935796.64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8.75" customHeight="1">
      <c r="A22" s="70" t="str">
        <f>"  "&amp;"2013101"</f>
        <v>  2013101</v>
      </c>
      <c r="B22" s="71" t="str">
        <f t="shared" si="0"/>
        <v>    行政运行</v>
      </c>
      <c r="C22" s="12">
        <v>935796.64</v>
      </c>
      <c r="D22" s="12">
        <v>935796.64</v>
      </c>
      <c r="E22" s="12">
        <v>935796.64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8.75" customHeight="1">
      <c r="A23" s="69" t="str">
        <f>" "&amp;"20136"</f>
        <v> 20136</v>
      </c>
      <c r="B23" s="69" t="str">
        <f>"  "&amp;"其他共产党事务支出"</f>
        <v>  其他共产党事务支出</v>
      </c>
      <c r="C23" s="12">
        <v>1166529.03</v>
      </c>
      <c r="D23" s="12">
        <v>1166529.03</v>
      </c>
      <c r="E23" s="12">
        <v>1166529.03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8.75" customHeight="1">
      <c r="A24" s="70" t="str">
        <f>"  "&amp;"2013650"</f>
        <v>  2013650</v>
      </c>
      <c r="B24" s="71" t="str">
        <f t="shared" si="2" ref="B24:B67">"    "&amp;"事业运行"</f>
        <v>    事业运行</v>
      </c>
      <c r="C24" s="12">
        <v>1166529.03</v>
      </c>
      <c r="D24" s="12">
        <v>1166529.03</v>
      </c>
      <c r="E24" s="12">
        <v>1166529.03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8.75" customHeight="1">
      <c r="A25" s="69" t="str">
        <f>" "&amp;"20138"</f>
        <v> 20138</v>
      </c>
      <c r="B25" s="69" t="str">
        <f>"  "&amp;"市场监督管理事务"</f>
        <v>  市场监督管理事务</v>
      </c>
      <c r="C25" s="12">
        <v>8400</v>
      </c>
      <c r="D25" s="12">
        <v>8400</v>
      </c>
      <c r="E25" s="12">
        <v>8400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ht="18.75" customHeight="1">
      <c r="A26" s="70" t="str">
        <f>"  "&amp;"2013899"</f>
        <v>  2013899</v>
      </c>
      <c r="B26" s="71" t="str">
        <f>"    "&amp;"其他市场监督管理事务"</f>
        <v>    其他市场监督管理事务</v>
      </c>
      <c r="C26" s="12">
        <v>8400</v>
      </c>
      <c r="D26" s="12">
        <v>8400</v>
      </c>
      <c r="E26" s="12">
        <v>8400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ht="18.75" customHeight="1">
      <c r="A27" s="69" t="str">
        <f>" "&amp;"20139"</f>
        <v> 20139</v>
      </c>
      <c r="B27" s="69" t="str">
        <f>"  "&amp;"社会工作事务"</f>
        <v>  社会工作事务</v>
      </c>
      <c r="C27" s="12">
        <v>269346.92</v>
      </c>
      <c r="D27" s="12">
        <v>269346.92</v>
      </c>
      <c r="E27" s="12">
        <v>269346.92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ht="18.75" customHeight="1">
      <c r="A28" s="70" t="str">
        <f>"  "&amp;"2013901"</f>
        <v>  2013901</v>
      </c>
      <c r="B28" s="71" t="str">
        <f t="shared" si="0"/>
        <v>    行政运行</v>
      </c>
      <c r="C28" s="12">
        <v>269346.92</v>
      </c>
      <c r="D28" s="12">
        <v>269346.92</v>
      </c>
      <c r="E28" s="12">
        <v>269346.92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ht="18.75" customHeight="1">
      <c r="A29" s="68" t="s">
        <v>127</v>
      </c>
      <c r="B29" s="68" t="s">
        <v>128</v>
      </c>
      <c r="C29" s="12">
        <v>13440</v>
      </c>
      <c r="D29" s="12">
        <v>13440</v>
      </c>
      <c r="E29" s="12">
        <v>13440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ht="18.75" customHeight="1">
      <c r="A30" s="69" t="str">
        <f>" "&amp;"20402"</f>
        <v> 20402</v>
      </c>
      <c r="B30" s="69" t="str">
        <f>"  "&amp;"公安"</f>
        <v>  公安</v>
      </c>
      <c r="C30" s="12">
        <v>13440</v>
      </c>
      <c r="D30" s="12">
        <v>13440</v>
      </c>
      <c r="E30" s="12">
        <v>13440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ht="18.75" customHeight="1">
      <c r="A31" s="70" t="str">
        <f>"  "&amp;"2040299"</f>
        <v>  2040299</v>
      </c>
      <c r="B31" s="71" t="str">
        <f>"    "&amp;"其他公安支出"</f>
        <v>    其他公安支出</v>
      </c>
      <c r="C31" s="12">
        <v>13440</v>
      </c>
      <c r="D31" s="12">
        <v>13440</v>
      </c>
      <c r="E31" s="12">
        <v>13440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t="18.75" customHeight="1">
      <c r="A32" s="68" t="s">
        <v>133</v>
      </c>
      <c r="B32" s="68" t="s">
        <v>134</v>
      </c>
      <c r="C32" s="12">
        <v>42000</v>
      </c>
      <c r="D32" s="12">
        <v>42000</v>
      </c>
      <c r="E32" s="12">
        <v>42000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ht="18.75" customHeight="1">
      <c r="A33" s="69" t="str">
        <f>" "&amp;"20701"</f>
        <v> 20701</v>
      </c>
      <c r="B33" s="69" t="str">
        <f>"  "&amp;"文化和旅游"</f>
        <v>  文化和旅游</v>
      </c>
      <c r="C33" s="12">
        <v>42000</v>
      </c>
      <c r="D33" s="12">
        <v>42000</v>
      </c>
      <c r="E33" s="12">
        <v>42000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t="18.75" customHeight="1">
      <c r="A34" s="70" t="str">
        <f>"  "&amp;"2070199"</f>
        <v>  2070199</v>
      </c>
      <c r="B34" s="71" t="str">
        <f>"    "&amp;"其他文化和旅游支出"</f>
        <v>    其他文化和旅游支出</v>
      </c>
      <c r="C34" s="12">
        <v>42000</v>
      </c>
      <c r="D34" s="12">
        <v>42000</v>
      </c>
      <c r="E34" s="12">
        <v>42000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ht="18.75" customHeight="1">
      <c r="A35" s="68" t="s">
        <v>139</v>
      </c>
      <c r="B35" s="68" t="s">
        <v>140</v>
      </c>
      <c r="C35" s="12">
        <v>1962195.84</v>
      </c>
      <c r="D35" s="12">
        <v>1962195.84</v>
      </c>
      <c r="E35" s="12">
        <v>1962195.84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ht="18.75" customHeight="1">
      <c r="A36" s="69" t="str">
        <f>" "&amp;"20801"</f>
        <v> 20801</v>
      </c>
      <c r="B36" s="69" t="str">
        <f>"  "&amp;"人力资源和社会保障管理事务"</f>
        <v>  人力资源和社会保障管理事务</v>
      </c>
      <c r="C36" s="12">
        <v>148680</v>
      </c>
      <c r="D36" s="12">
        <v>148680</v>
      </c>
      <c r="E36" s="12">
        <v>148680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ht="18.75" customHeight="1">
      <c r="A37" s="70" t="str">
        <f>"  "&amp;"2080199"</f>
        <v>  2080199</v>
      </c>
      <c r="B37" s="71" t="str">
        <f>"    "&amp;"其他人力资源和社会保障管理事务支出"</f>
        <v>    其他人力资源和社会保障管理事务支出</v>
      </c>
      <c r="C37" s="12">
        <v>148680</v>
      </c>
      <c r="D37" s="12">
        <v>148680</v>
      </c>
      <c r="E37" s="12">
        <v>148680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ht="18.75" customHeight="1">
      <c r="A38" s="69" t="str">
        <f>" "&amp;"20805"</f>
        <v> 20805</v>
      </c>
      <c r="B38" s="69" t="str">
        <f>"  "&amp;"行政事业单位养老支出"</f>
        <v>  行政事业单位养老支出</v>
      </c>
      <c r="C38" s="12">
        <v>1722381.6</v>
      </c>
      <c r="D38" s="12">
        <v>1722381.6</v>
      </c>
      <c r="E38" s="12">
        <v>1722381.6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ht="18.75" customHeight="1">
      <c r="A39" s="70" t="str">
        <f>"  "&amp;"2080501"</f>
        <v>  2080501</v>
      </c>
      <c r="B39" s="71" t="str">
        <f>"    "&amp;"行政单位离退休"</f>
        <v>    行政单位离退休</v>
      </c>
      <c r="C39" s="12">
        <v>680455.2</v>
      </c>
      <c r="D39" s="12">
        <v>680455.2</v>
      </c>
      <c r="E39" s="12">
        <v>680455.2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ht="18.75" customHeight="1">
      <c r="A40" s="70" t="str">
        <f>"  "&amp;"2080505"</f>
        <v>  2080505</v>
      </c>
      <c r="B40" s="71" t="str">
        <f>"    "&amp;"机关事业单位基本养老保险缴费支出"</f>
        <v>    机关事业单位基本养老保险缴费支出</v>
      </c>
      <c r="C40" s="12">
        <v>1041926.4</v>
      </c>
      <c r="D40" s="12">
        <v>1041926.4</v>
      </c>
      <c r="E40" s="12">
        <v>1041926.4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ht="18.75" customHeight="1">
      <c r="A41" s="70" t="str">
        <f>"  "&amp;"2080506"</f>
        <v>  2080506</v>
      </c>
      <c r="B41" s="71" t="str">
        <f>"    "&amp;"机关事业单位职业年金缴费支出"</f>
        <v>    机关事业单位职业年金缴费支出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ht="18.75" customHeight="1">
      <c r="A42" s="69" t="str">
        <f>" "&amp;"20808"</f>
        <v> 20808</v>
      </c>
      <c r="B42" s="69" t="str">
        <f>"  "&amp;"抚恤"</f>
        <v>  抚恤</v>
      </c>
      <c r="C42" s="12">
        <v>61734.24</v>
      </c>
      <c r="D42" s="12">
        <v>61734.24</v>
      </c>
      <c r="E42" s="12">
        <v>61734.24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ht="18.75" customHeight="1">
      <c r="A43" s="70" t="str">
        <f>"  "&amp;"2080801"</f>
        <v>  2080801</v>
      </c>
      <c r="B43" s="71" t="str">
        <f>"    "&amp;"死亡抚恤"</f>
        <v>    死亡抚恤</v>
      </c>
      <c r="C43" s="12">
        <v>61734.24</v>
      </c>
      <c r="D43" s="12">
        <v>61734.24</v>
      </c>
      <c r="E43" s="12">
        <v>61734.24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ht="18.75" customHeight="1">
      <c r="A44" s="69" t="str">
        <f>" "&amp;"20811"</f>
        <v> 20811</v>
      </c>
      <c r="B44" s="69" t="str">
        <f>"  "&amp;"残疾人事业"</f>
        <v>  残疾人事业</v>
      </c>
      <c r="C44" s="12">
        <v>12600</v>
      </c>
      <c r="D44" s="12">
        <v>12600</v>
      </c>
      <c r="E44" s="12">
        <v>12600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ht="18.75" customHeight="1">
      <c r="A45" s="70" t="str">
        <f>"  "&amp;"2081199"</f>
        <v>  2081199</v>
      </c>
      <c r="B45" s="71" t="str">
        <f>"    "&amp;"其他残疾人事业支出"</f>
        <v>    其他残疾人事业支出</v>
      </c>
      <c r="C45" s="12">
        <v>12600</v>
      </c>
      <c r="D45" s="12">
        <v>12600</v>
      </c>
      <c r="E45" s="12">
        <v>12600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ht="18.75" customHeight="1">
      <c r="A46" s="69" t="str">
        <f>" "&amp;"20825"</f>
        <v> 20825</v>
      </c>
      <c r="B46" s="69" t="str">
        <f>"  "&amp;"其他生活救助"</f>
        <v>  其他生活救助</v>
      </c>
      <c r="C46" s="12">
        <v>16800</v>
      </c>
      <c r="D46" s="12">
        <v>16800</v>
      </c>
      <c r="E46" s="12">
        <v>16800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ht="18.75" customHeight="1">
      <c r="A47" s="70" t="str">
        <f>"  "&amp;"2082502"</f>
        <v>  2082502</v>
      </c>
      <c r="B47" s="71" t="str">
        <f>"    "&amp;"其他农村生活救助"</f>
        <v>    其他农村生活救助</v>
      </c>
      <c r="C47" s="12">
        <v>16800</v>
      </c>
      <c r="D47" s="12">
        <v>16800</v>
      </c>
      <c r="E47" s="12">
        <v>16800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ht="18.75" customHeight="1">
      <c r="A48" s="68" t="s">
        <v>165</v>
      </c>
      <c r="B48" s="68" t="s">
        <v>166</v>
      </c>
      <c r="C48" s="12">
        <v>558298.92</v>
      </c>
      <c r="D48" s="12">
        <v>558298.92</v>
      </c>
      <c r="E48" s="12">
        <v>558298.92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8.75" customHeight="1">
      <c r="A49" s="69" t="str">
        <f>" "&amp;"21007"</f>
        <v> 21007</v>
      </c>
      <c r="B49" s="69" t="str">
        <f>"  "&amp;"计划生育事务"</f>
        <v>  计划生育事务</v>
      </c>
      <c r="C49" s="12">
        <v>60120</v>
      </c>
      <c r="D49" s="12">
        <v>60120</v>
      </c>
      <c r="E49" s="12">
        <v>60120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8.75" customHeight="1">
      <c r="A50" s="70" t="str">
        <f>"  "&amp;"2100799"</f>
        <v>  2100799</v>
      </c>
      <c r="B50" s="71" t="str">
        <f>"    "&amp;"其他计划生育事务支出"</f>
        <v>    其他计划生育事务支出</v>
      </c>
      <c r="C50" s="12">
        <v>60120</v>
      </c>
      <c r="D50" s="12">
        <v>60120</v>
      </c>
      <c r="E50" s="12">
        <v>60120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8.75" customHeight="1">
      <c r="A51" s="69" t="str">
        <f>" "&amp;"21011"</f>
        <v> 21011</v>
      </c>
      <c r="B51" s="69" t="str">
        <f>"  "&amp;"行政事业单位医疗"</f>
        <v>  行政事业单位医疗</v>
      </c>
      <c r="C51" s="12">
        <v>498178.92</v>
      </c>
      <c r="D51" s="12">
        <v>498178.92</v>
      </c>
      <c r="E51" s="12">
        <v>498178.92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ht="18.75" customHeight="1">
      <c r="A52" s="70" t="str">
        <f>"  "&amp;"2101101"</f>
        <v>  2101101</v>
      </c>
      <c r="B52" s="71" t="str">
        <f>"    "&amp;"行政单位医疗"</f>
        <v>    行政单位医疗</v>
      </c>
      <c r="C52" s="12">
        <v>179190.94</v>
      </c>
      <c r="D52" s="12">
        <v>179190.94</v>
      </c>
      <c r="E52" s="12">
        <v>179190.94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ht="18.75" customHeight="1">
      <c r="A53" s="70" t="str">
        <f>"  "&amp;"2101102"</f>
        <v>  2101102</v>
      </c>
      <c r="B53" s="71" t="str">
        <f>"    "&amp;"事业单位医疗"</f>
        <v>    事业单位医疗</v>
      </c>
      <c r="C53" s="12">
        <v>283163.9</v>
      </c>
      <c r="D53" s="12">
        <v>283163.9</v>
      </c>
      <c r="E53" s="12">
        <v>283163.9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ht="18.75" customHeight="1">
      <c r="A54" s="70" t="str">
        <f>"  "&amp;"2101103"</f>
        <v>  2101103</v>
      </c>
      <c r="B54" s="71" t="str">
        <f>"    "&amp;"公务员医疗补助"</f>
        <v>    公务员医疗补助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ht="18.75" customHeight="1">
      <c r="A55" s="70" t="str">
        <f>"  "&amp;"2101199"</f>
        <v>  2101199</v>
      </c>
      <c r="B55" s="71" t="str">
        <f>"    "&amp;"其他行政事业单位医疗支出"</f>
        <v>    其他行政事业单位医疗支出</v>
      </c>
      <c r="C55" s="12">
        <v>35824.08</v>
      </c>
      <c r="D55" s="12">
        <v>35824.08</v>
      </c>
      <c r="E55" s="12">
        <v>35824.08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ht="18.75" customHeight="1">
      <c r="A56" s="68" t="s">
        <v>181</v>
      </c>
      <c r="B56" s="68" t="s">
        <v>182</v>
      </c>
      <c r="C56" s="12">
        <v>200000</v>
      </c>
      <c r="D56" s="12">
        <v>200000</v>
      </c>
      <c r="E56" s="12"/>
      <c r="F56" s="12">
        <v>200000</v>
      </c>
      <c r="G56" s="12"/>
      <c r="H56" s="12"/>
      <c r="I56" s="12"/>
      <c r="J56" s="12"/>
      <c r="K56" s="12"/>
      <c r="L56" s="12"/>
      <c r="M56" s="12"/>
      <c r="N56" s="12"/>
      <c r="O56" s="12"/>
    </row>
    <row r="57" ht="18.75" customHeight="1">
      <c r="A57" s="69" t="str">
        <f>" "&amp;"21104"</f>
        <v> 21104</v>
      </c>
      <c r="B57" s="69" t="str">
        <f>"  "&amp;"自然生态保护"</f>
        <v>  自然生态保护</v>
      </c>
      <c r="C57" s="12">
        <v>200000</v>
      </c>
      <c r="D57" s="12">
        <v>200000</v>
      </c>
      <c r="E57" s="12"/>
      <c r="F57" s="12">
        <v>200000</v>
      </c>
      <c r="G57" s="12"/>
      <c r="H57" s="12"/>
      <c r="I57" s="12"/>
      <c r="J57" s="12"/>
      <c r="K57" s="12"/>
      <c r="L57" s="12"/>
      <c r="M57" s="12"/>
      <c r="N57" s="12"/>
      <c r="O57" s="12"/>
    </row>
    <row r="58" ht="18.75" customHeight="1">
      <c r="A58" s="70" t="str">
        <f>"  "&amp;"2110402"</f>
        <v>  2110402</v>
      </c>
      <c r="B58" s="71" t="str">
        <f>"    "&amp;"农村环境保护"</f>
        <v>    农村环境保护</v>
      </c>
      <c r="C58" s="12">
        <v>200000</v>
      </c>
      <c r="D58" s="12">
        <v>200000</v>
      </c>
      <c r="E58" s="12"/>
      <c r="F58" s="12">
        <v>200000</v>
      </c>
      <c r="G58" s="12"/>
      <c r="H58" s="12"/>
      <c r="I58" s="12"/>
      <c r="J58" s="12"/>
      <c r="K58" s="12"/>
      <c r="L58" s="12"/>
      <c r="M58" s="12"/>
      <c r="N58" s="12"/>
      <c r="O58" s="12"/>
    </row>
    <row r="59" ht="18.75" customHeight="1">
      <c r="A59" s="68" t="s">
        <v>187</v>
      </c>
      <c r="B59" s="68" t="s">
        <v>188</v>
      </c>
      <c r="C59" s="12">
        <v>1304074.28</v>
      </c>
      <c r="D59" s="12">
        <v>1304074.28</v>
      </c>
      <c r="E59" s="12">
        <v>1304074.28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ht="18.75" customHeight="1">
      <c r="A60" s="69" t="str">
        <f>" "&amp;"21201"</f>
        <v> 21201</v>
      </c>
      <c r="B60" s="69" t="str">
        <f>"  "&amp;"城乡社区管理事务"</f>
        <v>  城乡社区管理事务</v>
      </c>
      <c r="C60" s="12">
        <v>1261594.28</v>
      </c>
      <c r="D60" s="12">
        <v>1261594.28</v>
      </c>
      <c r="E60" s="12">
        <v>1261594.28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ht="18.75" customHeight="1">
      <c r="A61" s="70" t="str">
        <f>"  "&amp;"2120104"</f>
        <v>  2120104</v>
      </c>
      <c r="B61" s="71" t="str">
        <f>"    "&amp;"城管执法"</f>
        <v>    城管执法</v>
      </c>
      <c r="C61" s="12">
        <v>1261594.28</v>
      </c>
      <c r="D61" s="12">
        <v>1261594.28</v>
      </c>
      <c r="E61" s="12">
        <v>1261594.28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ht="18.75" customHeight="1">
      <c r="A62" s="69" t="str">
        <f>" "&amp;"21202"</f>
        <v> 21202</v>
      </c>
      <c r="B62" s="69" t="str">
        <f>"  "&amp;"城乡社区规划与管理"</f>
        <v>  城乡社区规划与管理</v>
      </c>
      <c r="C62" s="12">
        <v>42480</v>
      </c>
      <c r="D62" s="12">
        <v>42480</v>
      </c>
      <c r="E62" s="12">
        <v>42480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ht="18.75" customHeight="1">
      <c r="A63" s="70" t="str">
        <f>"  "&amp;"2120201"</f>
        <v>  2120201</v>
      </c>
      <c r="B63" s="71" t="str">
        <f>"    "&amp;"城乡社区规划与管理"</f>
        <v>    城乡社区规划与管理</v>
      </c>
      <c r="C63" s="12">
        <v>42480</v>
      </c>
      <c r="D63" s="12">
        <v>42480</v>
      </c>
      <c r="E63" s="12">
        <v>42480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ht="18.75" customHeight="1">
      <c r="A64" s="68" t="s">
        <v>197</v>
      </c>
      <c r="B64" s="68" t="s">
        <v>198</v>
      </c>
      <c r="C64" s="12">
        <v>3331084.74</v>
      </c>
      <c r="D64" s="12">
        <v>3331084.74</v>
      </c>
      <c r="E64" s="12">
        <v>3061084.74</v>
      </c>
      <c r="F64" s="12">
        <v>270000</v>
      </c>
      <c r="G64" s="12"/>
      <c r="H64" s="12"/>
      <c r="I64" s="12"/>
      <c r="J64" s="12"/>
      <c r="K64" s="12"/>
      <c r="L64" s="12"/>
      <c r="M64" s="12"/>
      <c r="N64" s="12"/>
      <c r="O64" s="12"/>
    </row>
    <row r="65" ht="18.75" customHeight="1">
      <c r="A65" s="69" t="str">
        <f>" "&amp;"21301"</f>
        <v> 21301</v>
      </c>
      <c r="B65" s="69" t="str">
        <f>"  "&amp;"农业农村"</f>
        <v>  农业农村</v>
      </c>
      <c r="C65" s="12">
        <v>3131084.74</v>
      </c>
      <c r="D65" s="12">
        <v>3131084.74</v>
      </c>
      <c r="E65" s="12">
        <v>3061084.74</v>
      </c>
      <c r="F65" s="12">
        <v>70000</v>
      </c>
      <c r="G65" s="12"/>
      <c r="H65" s="12"/>
      <c r="I65" s="12"/>
      <c r="J65" s="12"/>
      <c r="K65" s="12"/>
      <c r="L65" s="12"/>
      <c r="M65" s="12"/>
      <c r="N65" s="12"/>
      <c r="O65" s="12"/>
    </row>
    <row r="66" ht="18.75" customHeight="1">
      <c r="A66" s="70" t="str">
        <f>"  "&amp;"2130101"</f>
        <v>  2130101</v>
      </c>
      <c r="B66" s="71" t="str">
        <f t="shared" si="0"/>
        <v>    行政运行</v>
      </c>
      <c r="C66" s="12">
        <v>42000</v>
      </c>
      <c r="D66" s="12">
        <v>42000</v>
      </c>
      <c r="E66" s="12">
        <v>42000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ht="18.75" customHeight="1">
      <c r="A67" s="70" t="str">
        <f>"  "&amp;"2130104"</f>
        <v>  2130104</v>
      </c>
      <c r="B67" s="71" t="str">
        <f t="shared" si="2"/>
        <v>    事业运行</v>
      </c>
      <c r="C67" s="12">
        <v>3019084.74</v>
      </c>
      <c r="D67" s="12">
        <v>3019084.74</v>
      </c>
      <c r="E67" s="12">
        <v>3019084.74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ht="18.75" customHeight="1">
      <c r="A68" s="70" t="str">
        <f>"  "&amp;"2130122"</f>
        <v>  2130122</v>
      </c>
      <c r="B68" s="71" t="str">
        <f>"    "&amp;"农业生产发展"</f>
        <v>    农业生产发展</v>
      </c>
      <c r="C68" s="12">
        <v>30000</v>
      </c>
      <c r="D68" s="12">
        <v>30000</v>
      </c>
      <c r="E68" s="12"/>
      <c r="F68" s="12">
        <v>30000</v>
      </c>
      <c r="G68" s="12"/>
      <c r="H68" s="12"/>
      <c r="I68" s="12"/>
      <c r="J68" s="12"/>
      <c r="K68" s="12"/>
      <c r="L68" s="12"/>
      <c r="M68" s="12"/>
      <c r="N68" s="12"/>
      <c r="O68" s="12"/>
    </row>
    <row r="69" ht="18.75" customHeight="1">
      <c r="A69" s="70" t="str">
        <f>"  "&amp;"2130199"</f>
        <v>  2130199</v>
      </c>
      <c r="B69" s="71" t="str">
        <f>"    "&amp;"其他农业农村支出"</f>
        <v>    其他农业农村支出</v>
      </c>
      <c r="C69" s="12">
        <v>40000</v>
      </c>
      <c r="D69" s="12">
        <v>40000</v>
      </c>
      <c r="E69" s="12"/>
      <c r="F69" s="12">
        <v>40000</v>
      </c>
      <c r="G69" s="12"/>
      <c r="H69" s="12"/>
      <c r="I69" s="12"/>
      <c r="J69" s="12"/>
      <c r="K69" s="12"/>
      <c r="L69" s="12"/>
      <c r="M69" s="12"/>
      <c r="N69" s="12"/>
      <c r="O69" s="12"/>
    </row>
    <row r="70" ht="18.75" customHeight="1">
      <c r="A70" s="69" t="str">
        <f>" "&amp;"21305"</f>
        <v> 21305</v>
      </c>
      <c r="B70" s="69" t="str">
        <f>"  "&amp;"巩固脱贫攻坚成果衔接乡村振兴"</f>
        <v>  巩固脱贫攻坚成果衔接乡村振兴</v>
      </c>
      <c r="C70" s="12">
        <v>200000</v>
      </c>
      <c r="D70" s="12">
        <v>200000</v>
      </c>
      <c r="E70" s="12"/>
      <c r="F70" s="12">
        <v>200000</v>
      </c>
      <c r="G70" s="12"/>
      <c r="H70" s="12"/>
      <c r="I70" s="12"/>
      <c r="J70" s="12"/>
      <c r="K70" s="12"/>
      <c r="L70" s="12"/>
      <c r="M70" s="12"/>
      <c r="N70" s="12"/>
      <c r="O70" s="12"/>
    </row>
    <row r="71" ht="18.75" customHeight="1">
      <c r="A71" s="70" t="str">
        <f>"  "&amp;"2130504"</f>
        <v>  2130504</v>
      </c>
      <c r="B71" s="71" t="str">
        <f>"    "&amp;"农村基础设施建设"</f>
        <v>    农村基础设施建设</v>
      </c>
      <c r="C71" s="12">
        <v>160000</v>
      </c>
      <c r="D71" s="12">
        <v>160000</v>
      </c>
      <c r="E71" s="12"/>
      <c r="F71" s="12">
        <v>160000</v>
      </c>
      <c r="G71" s="12"/>
      <c r="H71" s="12"/>
      <c r="I71" s="12"/>
      <c r="J71" s="12"/>
      <c r="K71" s="12"/>
      <c r="L71" s="12"/>
      <c r="M71" s="12"/>
      <c r="N71" s="12"/>
      <c r="O71" s="12"/>
    </row>
    <row r="72" ht="18.75" customHeight="1">
      <c r="A72" s="70" t="str">
        <f>"  "&amp;"2130505"</f>
        <v>  2130505</v>
      </c>
      <c r="B72" s="71" t="str">
        <f>"    "&amp;"生产发展"</f>
        <v>    生产发展</v>
      </c>
      <c r="C72" s="12">
        <v>40000</v>
      </c>
      <c r="D72" s="12">
        <v>40000</v>
      </c>
      <c r="E72" s="12"/>
      <c r="F72" s="12">
        <v>40000</v>
      </c>
      <c r="G72" s="12"/>
      <c r="H72" s="12"/>
      <c r="I72" s="12"/>
      <c r="J72" s="12"/>
      <c r="K72" s="12"/>
      <c r="L72" s="12"/>
      <c r="M72" s="12"/>
      <c r="N72" s="12"/>
      <c r="O72" s="12"/>
    </row>
    <row r="73" ht="18.75" customHeight="1">
      <c r="A73" s="68" t="s">
        <v>213</v>
      </c>
      <c r="B73" s="68" t="s">
        <v>214</v>
      </c>
      <c r="C73" s="12">
        <v>781444.8</v>
      </c>
      <c r="D73" s="12">
        <v>781444.8</v>
      </c>
      <c r="E73" s="12">
        <v>781444.8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ht="18.75" customHeight="1">
      <c r="A74" s="69" t="str">
        <f>" "&amp;"22102"</f>
        <v> 22102</v>
      </c>
      <c r="B74" s="69" t="str">
        <f>"  "&amp;"住房改革支出"</f>
        <v>  住房改革支出</v>
      </c>
      <c r="C74" s="12">
        <v>781444.8</v>
      </c>
      <c r="D74" s="12">
        <v>781444.8</v>
      </c>
      <c r="E74" s="12">
        <v>781444.8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ht="18.75" customHeight="1">
      <c r="A75" s="70" t="str">
        <f>"  "&amp;"2210201"</f>
        <v>  2210201</v>
      </c>
      <c r="B75" s="71" t="str">
        <f>"    "&amp;"住房公积金"</f>
        <v>    住房公积金</v>
      </c>
      <c r="C75" s="12">
        <v>781444.8</v>
      </c>
      <c r="D75" s="12">
        <v>781444.8</v>
      </c>
      <c r="E75" s="12">
        <v>781444.8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ht="18.75" customHeight="1">
      <c r="A76" s="68" t="s">
        <v>219</v>
      </c>
      <c r="B76" s="68" t="s">
        <v>220</v>
      </c>
      <c r="C76" s="12">
        <v>57800</v>
      </c>
      <c r="D76" s="12">
        <v>57800</v>
      </c>
      <c r="E76" s="12">
        <v>10800</v>
      </c>
      <c r="F76" s="12">
        <v>47000</v>
      </c>
      <c r="G76" s="12"/>
      <c r="H76" s="12"/>
      <c r="I76" s="12"/>
      <c r="J76" s="12"/>
      <c r="K76" s="12"/>
      <c r="L76" s="12"/>
      <c r="M76" s="12"/>
      <c r="N76" s="12"/>
      <c r="O76" s="12"/>
    </row>
    <row r="77" ht="18.75" customHeight="1">
      <c r="A77" s="69" t="str">
        <f>" "&amp;"22401"</f>
        <v> 22401</v>
      </c>
      <c r="B77" s="69" t="str">
        <f>"  "&amp;"应急管理事务"</f>
        <v>  应急管理事务</v>
      </c>
      <c r="C77" s="12">
        <v>10800</v>
      </c>
      <c r="D77" s="12">
        <v>10800</v>
      </c>
      <c r="E77" s="12">
        <v>10800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ht="18.75" customHeight="1">
      <c r="A78" s="70" t="str">
        <f>"  "&amp;"2240101"</f>
        <v>  2240101</v>
      </c>
      <c r="B78" s="71" t="str">
        <f t="shared" si="0"/>
        <v>    行政运行</v>
      </c>
      <c r="C78" s="12">
        <v>10800</v>
      </c>
      <c r="D78" s="12">
        <v>10800</v>
      </c>
      <c r="E78" s="12">
        <v>10800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ht="18.75" customHeight="1">
      <c r="A79" s="69" t="str">
        <f>" "&amp;"22402"</f>
        <v> 22402</v>
      </c>
      <c r="B79" s="69" t="str">
        <f>"  "&amp;"消防救援事务"</f>
        <v>  消防救援事务</v>
      </c>
      <c r="C79" s="12">
        <v>47000</v>
      </c>
      <c r="D79" s="12">
        <v>47000</v>
      </c>
      <c r="E79" s="12"/>
      <c r="F79" s="12">
        <v>47000</v>
      </c>
      <c r="G79" s="12"/>
      <c r="H79" s="12"/>
      <c r="I79" s="12"/>
      <c r="J79" s="12"/>
      <c r="K79" s="12"/>
      <c r="L79" s="12"/>
      <c r="M79" s="12"/>
      <c r="N79" s="12"/>
      <c r="O79" s="12"/>
    </row>
    <row r="80" ht="18.75" customHeight="1">
      <c r="A80" s="70" t="str">
        <f>"  "&amp;"2240204"</f>
        <v>  2240204</v>
      </c>
      <c r="B80" s="71" t="str">
        <f>"    "&amp;"消防应急救援"</f>
        <v>    消防应急救援</v>
      </c>
      <c r="C80" s="12">
        <v>47000</v>
      </c>
      <c r="D80" s="12">
        <v>47000</v>
      </c>
      <c r="E80" s="12"/>
      <c r="F80" s="12">
        <v>47000</v>
      </c>
      <c r="G80" s="12"/>
      <c r="H80" s="12"/>
      <c r="I80" s="12"/>
      <c r="J80" s="12"/>
      <c r="K80" s="12"/>
      <c r="L80" s="12"/>
      <c r="M80" s="12"/>
      <c r="N80" s="12"/>
      <c r="O80" s="12"/>
    </row>
    <row r="81" ht="18.75" customHeight="1">
      <c r="A81" s="72" t="s">
        <v>228</v>
      </c>
      <c r="B81" s="73" t="s">
        <v>228</v>
      </c>
      <c r="C81" s="12">
        <v>17142997.05</v>
      </c>
      <c r="D81" s="12">
        <v>17142997.05</v>
      </c>
      <c r="E81" s="12">
        <v>16481497.05</v>
      </c>
      <c r="F81" s="12">
        <v>661500</v>
      </c>
      <c r="G81" s="12"/>
      <c r="H81" s="12"/>
      <c r="I81" s="12"/>
      <c r="J81" s="12"/>
      <c r="K81" s="12"/>
      <c r="L81" s="12"/>
      <c r="M81" s="12"/>
      <c r="N81" s="12"/>
      <c r="O81" s="12"/>
    </row>
  </sheetData>
  <mergeCells>
    <mergeCell ref="A2:O2"/>
    <mergeCell ref="A3:L3"/>
    <mergeCell ref="A81:B81"/>
    <mergeCell ref="A4:A5"/>
    <mergeCell ref="B4:B5"/>
    <mergeCell ref="C4:C5"/>
    <mergeCell ref="G4:G5"/>
    <mergeCell ref="I4:I5"/>
    <mergeCell ref="J4:O4"/>
    <mergeCell ref="H4:H5"/>
    <mergeCell ref="D4:F4"/>
  </mergeCells>
  <extLst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1E9DEE-32AC-D22F-C534-1593726431C5}" mc:Ignorable="x14ac xr xr2 xr3">
  <sheetPr>
    <outlinePr summaryBelow="0" summaryRight="0"/>
  </sheetPr>
  <dimension ref="A1:D35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r="1" ht="19.5" customHeight="1">
      <c r="D1" s="1" t="s">
        <v>229</v>
      </c>
    </row>
    <row r="2" ht="36" customHeight="1">
      <c r="A2" s="2" t="str">
        <f>"2025"&amp;"年部门财政拨款收支预算总表"</f>
        <v>2025年部门财政拨款收支预算总表</v>
      </c>
      <c r="B2" s="74"/>
      <c r="C2" s="74"/>
      <c r="D2" s="74"/>
    </row>
    <row r="3" ht="18.75" customHeight="1">
      <c r="A3" s="75" t="str">
        <f>"单位名称："&amp;"耿马傣族佤族自治县勐永镇"</f>
        <v>单位名称：耿马傣族佤族自治县勐永镇</v>
      </c>
      <c r="B3" s="76"/>
      <c r="C3" s="76"/>
      <c r="D3" s="1" t="s">
        <v>3</v>
      </c>
    </row>
    <row r="4" ht="18.75" customHeight="1">
      <c r="A4" s="6" t="s">
        <v>4</v>
      </c>
      <c r="B4" s="7"/>
      <c r="C4" s="6" t="s">
        <v>5</v>
      </c>
      <c r="D4" s="7"/>
    </row>
    <row r="5" ht="18.75" customHeight="1">
      <c r="A5" s="8" t="s">
        <v>6</v>
      </c>
      <c r="B5" s="77" t="str">
        <f t="shared" si="0" ref="B5:D5">"2025"&amp;"年预算数"</f>
        <v>2025年预算数</v>
      </c>
      <c r="C5" s="8" t="s">
        <v>231</v>
      </c>
      <c r="D5" s="77" t="str">
        <f t="shared" si="0"/>
        <v>2025年预算数</v>
      </c>
    </row>
    <row r="6" ht="18.75" customHeight="1">
      <c r="A6" s="10"/>
      <c r="B6" s="63"/>
      <c r="C6" s="10"/>
      <c r="D6" s="63"/>
    </row>
    <row r="7" ht="18.75" customHeight="1">
      <c r="A7" s="78" t="s">
        <v>232</v>
      </c>
      <c r="B7" s="12">
        <v>17142997.05</v>
      </c>
      <c r="C7" s="79" t="s">
        <v>233</v>
      </c>
      <c r="D7" s="12">
        <v>17142997.05</v>
      </c>
    </row>
    <row r="8" ht="18.75" customHeight="1">
      <c r="A8" s="80" t="s">
        <v>234</v>
      </c>
      <c r="B8" s="12">
        <v>17142997.05</v>
      </c>
      <c r="C8" s="79" t="s">
        <v>235</v>
      </c>
      <c r="D8" s="12">
        <v>8892658.47</v>
      </c>
    </row>
    <row r="9" ht="18.75" customHeight="1">
      <c r="A9" s="80" t="s">
        <v>236</v>
      </c>
      <c r="B9" s="12"/>
      <c r="C9" s="79" t="s">
        <v>237</v>
      </c>
      <c r="D9" s="12"/>
    </row>
    <row r="10" ht="18.75" customHeight="1">
      <c r="A10" s="80" t="s">
        <v>238</v>
      </c>
      <c r="B10" s="12"/>
      <c r="C10" s="79" t="s">
        <v>239</v>
      </c>
      <c r="D10" s="12"/>
    </row>
    <row r="11" ht="18.75" customHeight="1">
      <c r="A11" s="80" t="s">
        <v>240</v>
      </c>
      <c r="B11" s="12"/>
      <c r="C11" s="79" t="s">
        <v>241</v>
      </c>
      <c r="D11" s="12">
        <v>13440</v>
      </c>
    </row>
    <row r="12" ht="18.75" customHeight="1">
      <c r="A12" s="80" t="s">
        <v>234</v>
      </c>
      <c r="B12" s="12"/>
      <c r="C12" s="79" t="s">
        <v>242</v>
      </c>
      <c r="D12" s="12"/>
    </row>
    <row r="13" ht="18.75" customHeight="1">
      <c r="A13" s="80" t="s">
        <v>236</v>
      </c>
      <c r="B13" s="12"/>
      <c r="C13" s="79" t="s">
        <v>243</v>
      </c>
      <c r="D13" s="12"/>
    </row>
    <row r="14" ht="18.75" customHeight="1">
      <c r="A14" s="80" t="s">
        <v>238</v>
      </c>
      <c r="B14" s="12"/>
      <c r="C14" s="79" t="s">
        <v>244</v>
      </c>
      <c r="D14" s="12">
        <v>42000</v>
      </c>
    </row>
    <row r="15" ht="18.75" customHeight="1">
      <c r="A15" s="21"/>
      <c r="B15" s="12"/>
      <c r="C15" s="13" t="s">
        <v>245</v>
      </c>
      <c r="D15" s="12">
        <v>1962195.84</v>
      </c>
    </row>
    <row r="16" ht="18.75" customHeight="1">
      <c r="A16" s="81"/>
      <c r="B16" s="12"/>
      <c r="C16" s="82" t="s">
        <v>246</v>
      </c>
      <c r="D16" s="12">
        <v>558298.92</v>
      </c>
    </row>
    <row r="17" ht="18.75" customHeight="1">
      <c r="A17" s="83"/>
      <c r="B17" s="12"/>
      <c r="C17" s="82" t="s">
        <v>247</v>
      </c>
      <c r="D17" s="12">
        <v>200000</v>
      </c>
    </row>
    <row r="18" ht="18.75" customHeight="1">
      <c r="A18" s="83"/>
      <c r="B18" s="12"/>
      <c r="C18" s="82" t="s">
        <v>248</v>
      </c>
      <c r="D18" s="12">
        <v>1304074.28</v>
      </c>
    </row>
    <row r="19" ht="18.75" customHeight="1">
      <c r="A19" s="83"/>
      <c r="B19" s="12"/>
      <c r="C19" s="82" t="s">
        <v>249</v>
      </c>
      <c r="D19" s="12">
        <v>3331084.74</v>
      </c>
    </row>
    <row r="20" ht="18.75" customHeight="1">
      <c r="A20" s="83"/>
      <c r="B20" s="12"/>
      <c r="C20" s="82" t="s">
        <v>250</v>
      </c>
      <c r="D20" s="12"/>
    </row>
    <row r="21" ht="18.75" customHeight="1">
      <c r="A21" s="83"/>
      <c r="B21" s="12"/>
      <c r="C21" s="82" t="s">
        <v>251</v>
      </c>
      <c r="D21" s="12"/>
    </row>
    <row r="22" ht="18.75" customHeight="1">
      <c r="A22" s="83"/>
      <c r="B22" s="12"/>
      <c r="C22" s="82" t="s">
        <v>252</v>
      </c>
      <c r="D22" s="12"/>
    </row>
    <row r="23" ht="18.75" customHeight="1">
      <c r="A23" s="83"/>
      <c r="B23" s="12"/>
      <c r="C23" s="82" t="s">
        <v>253</v>
      </c>
      <c r="D23" s="12"/>
    </row>
    <row r="24" ht="18.75" customHeight="1">
      <c r="A24" s="83"/>
      <c r="B24" s="12"/>
      <c r="C24" s="82" t="s">
        <v>254</v>
      </c>
      <c r="D24" s="12"/>
    </row>
    <row r="25" ht="18.75" customHeight="1">
      <c r="A25" s="83"/>
      <c r="B25" s="12"/>
      <c r="C25" s="82" t="s">
        <v>255</v>
      </c>
      <c r="D25" s="12"/>
    </row>
    <row r="26" ht="18.75" customHeight="1">
      <c r="A26" s="83"/>
      <c r="B26" s="12"/>
      <c r="C26" s="82" t="s">
        <v>256</v>
      </c>
      <c r="D26" s="12">
        <v>781444.8</v>
      </c>
    </row>
    <row r="27" ht="18.75" customHeight="1">
      <c r="A27" s="21"/>
      <c r="B27" s="12"/>
      <c r="C27" s="82" t="s">
        <v>257</v>
      </c>
      <c r="D27" s="12"/>
    </row>
    <row r="28" ht="18.75" customHeight="1">
      <c r="A28" s="81"/>
      <c r="B28" s="12"/>
      <c r="C28" s="82" t="s">
        <v>258</v>
      </c>
      <c r="D28" s="12"/>
    </row>
    <row r="29" ht="18.75" customHeight="1">
      <c r="A29" s="83"/>
      <c r="B29" s="12"/>
      <c r="C29" s="82" t="s">
        <v>259</v>
      </c>
      <c r="D29" s="12">
        <v>57800</v>
      </c>
    </row>
    <row r="30" ht="18.75" customHeight="1">
      <c r="A30" s="83"/>
      <c r="B30" s="12"/>
      <c r="C30" s="82" t="s">
        <v>260</v>
      </c>
      <c r="D30" s="12"/>
    </row>
    <row r="31" ht="18.75" customHeight="1">
      <c r="A31" s="83"/>
      <c r="B31" s="12"/>
      <c r="C31" s="82" t="s">
        <v>261</v>
      </c>
      <c r="D31" s="12"/>
    </row>
    <row r="32" ht="18.75" customHeight="1">
      <c r="A32" s="83"/>
      <c r="B32" s="12"/>
      <c r="C32" s="82" t="s">
        <v>262</v>
      </c>
      <c r="D32" s="12"/>
    </row>
    <row r="33" ht="18.75" customHeight="1">
      <c r="A33" s="83"/>
      <c r="B33" s="12"/>
      <c r="C33" s="82" t="s">
        <v>263</v>
      </c>
      <c r="D33" s="12"/>
    </row>
    <row r="34" ht="18.75" customHeight="1">
      <c r="A34" s="21"/>
      <c r="B34" s="12"/>
      <c r="C34" s="11" t="s">
        <v>264</v>
      </c>
      <c r="D34" s="12"/>
    </row>
    <row r="35" ht="18.75" customHeight="1">
      <c r="A35" s="81" t="s">
        <v>265</v>
      </c>
      <c r="B35" s="20">
        <v>17142997.05</v>
      </c>
      <c r="C35" s="21" t="s">
        <v>54</v>
      </c>
      <c r="D35" s="20">
        <v>17142997.05</v>
      </c>
    </row>
  </sheetData>
  <mergeCells>
    <mergeCell ref="A2:D2"/>
    <mergeCell ref="A3:B3"/>
    <mergeCell ref="A4:B4"/>
    <mergeCell ref="C4:D4"/>
    <mergeCell ref="A5:A6"/>
    <mergeCell ref="B5:B6"/>
    <mergeCell ref="C5:C6"/>
    <mergeCell ref="D5:D6"/>
  </mergeCells>
  <extLst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1B3606-30FF-BC25-0F61-B0C09EDBFD4A}" mc:Ignorable="x14ac xr xr2 xr3">
  <sheetPr>
    <outlinePr summaryBelow="0" summaryRight="0"/>
  </sheetPr>
  <dimension ref="A1:G79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r="1" ht="14.25" customHeight="1">
      <c r="A1" s="84"/>
      <c r="B1" s="84"/>
      <c r="C1" s="84"/>
      <c r="D1" s="85"/>
      <c r="E1" s="84"/>
      <c r="F1" s="86"/>
      <c r="G1" s="1" t="s">
        <v>266</v>
      </c>
    </row>
    <row r="2" ht="39" customHeight="1">
      <c r="A2" s="52" t="str">
        <f>"2025"&amp;"年一般公共预算支出预算表（按功能科目分类）"</f>
        <v>2025年一般公共预算支出预算表（按功能科目分类）</v>
      </c>
      <c r="B2" s="87"/>
      <c r="C2" s="87"/>
      <c r="D2" s="87"/>
      <c r="E2" s="87"/>
      <c r="F2" s="87"/>
      <c r="G2" s="87"/>
    </row>
    <row r="3" ht="18.75" customHeight="1">
      <c r="A3" s="88" t="str">
        <f>"单位名称："&amp;"耿马傣族佤族自治县勐永镇"</f>
        <v>单位名称：耿马傣族佤族自治县勐永镇</v>
      </c>
      <c r="B3" s="89"/>
      <c r="C3" s="85"/>
      <c r="D3" s="85"/>
      <c r="E3" s="85"/>
      <c r="F3" s="86"/>
      <c r="G3" s="1" t="s">
        <v>3</v>
      </c>
    </row>
    <row r="4" ht="18.75" customHeight="1">
      <c r="A4" s="90" t="s">
        <v>268</v>
      </c>
      <c r="B4" s="91"/>
      <c r="C4" s="92" t="s">
        <v>59</v>
      </c>
      <c r="D4" s="93" t="s">
        <v>79</v>
      </c>
      <c r="E4" s="62"/>
      <c r="F4" s="7"/>
      <c r="G4" s="94" t="s">
        <v>80</v>
      </c>
    </row>
    <row r="5" ht="18.75" customHeight="1">
      <c r="A5" s="95" t="s">
        <v>77</v>
      </c>
      <c r="B5" s="95" t="s">
        <v>78</v>
      </c>
      <c r="C5" s="10"/>
      <c r="D5" s="64" t="s">
        <v>61</v>
      </c>
      <c r="E5" s="64" t="s">
        <v>269</v>
      </c>
      <c r="F5" s="64" t="s">
        <v>270</v>
      </c>
      <c r="G5" s="96"/>
    </row>
    <row r="6" ht="18.75" customHeight="1">
      <c r="A6" s="97" t="s">
        <v>271</v>
      </c>
      <c r="B6" s="97" t="s">
        <v>272</v>
      </c>
      <c r="C6" s="97" t="s">
        <v>273</v>
      </c>
      <c r="D6" s="98">
        <v>4</v>
      </c>
      <c r="E6" s="99" t="s">
        <v>274</v>
      </c>
      <c r="F6" s="99" t="s">
        <v>275</v>
      </c>
      <c r="G6" s="97" t="s">
        <v>276</v>
      </c>
    </row>
    <row r="7" ht="18.75" customHeight="1">
      <c r="A7" s="100" t="s">
        <v>88</v>
      </c>
      <c r="B7" s="100" t="s">
        <v>89</v>
      </c>
      <c r="C7" s="12">
        <v>8892658.47</v>
      </c>
      <c r="D7" s="12">
        <v>8748158.47</v>
      </c>
      <c r="E7" s="12">
        <v>7658183.37</v>
      </c>
      <c r="F7" s="12">
        <v>1089975.1</v>
      </c>
      <c r="G7" s="12">
        <v>144500</v>
      </c>
    </row>
    <row r="8" ht="18.75" customHeight="1">
      <c r="A8" s="101" t="s">
        <v>277</v>
      </c>
      <c r="B8" s="101" t="s">
        <v>278</v>
      </c>
      <c r="C8" s="12">
        <v>187318.68</v>
      </c>
      <c r="D8" s="12">
        <v>157318.68</v>
      </c>
      <c r="E8" s="12">
        <v>142361</v>
      </c>
      <c r="F8" s="12">
        <v>14957.68</v>
      </c>
      <c r="G8" s="12">
        <v>30000</v>
      </c>
    </row>
    <row r="9" ht="18.75" customHeight="1">
      <c r="A9" s="102" t="s">
        <v>279</v>
      </c>
      <c r="B9" s="102" t="s">
        <v>280</v>
      </c>
      <c r="C9" s="12">
        <v>157318.68</v>
      </c>
      <c r="D9" s="12">
        <v>157318.68</v>
      </c>
      <c r="E9" s="12">
        <v>142361</v>
      </c>
      <c r="F9" s="12">
        <v>14957.68</v>
      </c>
      <c r="G9" s="12"/>
    </row>
    <row r="10" ht="18.75" customHeight="1">
      <c r="A10" s="102" t="s">
        <v>281</v>
      </c>
      <c r="B10" s="102" t="s">
        <v>282</v>
      </c>
      <c r="C10" s="12">
        <v>30000</v>
      </c>
      <c r="D10" s="12"/>
      <c r="E10" s="12"/>
      <c r="F10" s="12"/>
      <c r="G10" s="12">
        <v>30000</v>
      </c>
    </row>
    <row r="11" ht="18.75" customHeight="1">
      <c r="A11" s="101" t="s">
        <v>283</v>
      </c>
      <c r="B11" s="101" t="s">
        <v>284</v>
      </c>
      <c r="C11" s="12">
        <v>6013872.52</v>
      </c>
      <c r="D11" s="12">
        <v>5912372.52</v>
      </c>
      <c r="E11" s="12">
        <v>5083496.62</v>
      </c>
      <c r="F11" s="12">
        <v>828875.9</v>
      </c>
      <c r="G11" s="12">
        <v>101500</v>
      </c>
    </row>
    <row r="12" ht="18.75" customHeight="1">
      <c r="A12" s="102" t="s">
        <v>285</v>
      </c>
      <c r="B12" s="102" t="s">
        <v>280</v>
      </c>
      <c r="C12" s="12">
        <v>5912372.52</v>
      </c>
      <c r="D12" s="12">
        <v>5912372.52</v>
      </c>
      <c r="E12" s="12">
        <v>5083496.62</v>
      </c>
      <c r="F12" s="12">
        <v>828875.9</v>
      </c>
      <c r="G12" s="12"/>
    </row>
    <row r="13" ht="18.75" customHeight="1">
      <c r="A13" s="102" t="s">
        <v>286</v>
      </c>
      <c r="B13" s="102" t="s">
        <v>282</v>
      </c>
      <c r="C13" s="12">
        <v>70000</v>
      </c>
      <c r="D13" s="12"/>
      <c r="E13" s="12"/>
      <c r="F13" s="12"/>
      <c r="G13" s="12">
        <v>70000</v>
      </c>
    </row>
    <row r="14" ht="18.75" customHeight="1">
      <c r="A14" s="102" t="s">
        <v>287</v>
      </c>
      <c r="B14" s="102" t="s">
        <v>288</v>
      </c>
      <c r="C14" s="12">
        <v>31500</v>
      </c>
      <c r="D14" s="12"/>
      <c r="E14" s="12"/>
      <c r="F14" s="12"/>
      <c r="G14" s="12">
        <v>31500</v>
      </c>
    </row>
    <row r="15" ht="18.75" customHeight="1">
      <c r="A15" s="101" t="s">
        <v>289</v>
      </c>
      <c r="B15" s="101" t="s">
        <v>290</v>
      </c>
      <c r="C15" s="12">
        <v>3000</v>
      </c>
      <c r="D15" s="12"/>
      <c r="E15" s="12"/>
      <c r="F15" s="12"/>
      <c r="G15" s="12">
        <v>3000</v>
      </c>
    </row>
    <row r="16" ht="18.75" customHeight="1">
      <c r="A16" s="102" t="s">
        <v>291</v>
      </c>
      <c r="B16" s="102" t="s">
        <v>292</v>
      </c>
      <c r="C16" s="12">
        <v>3000</v>
      </c>
      <c r="D16" s="12"/>
      <c r="E16" s="12"/>
      <c r="F16" s="12"/>
      <c r="G16" s="12">
        <v>3000</v>
      </c>
    </row>
    <row r="17" ht="18.75" customHeight="1">
      <c r="A17" s="101" t="s">
        <v>293</v>
      </c>
      <c r="B17" s="101" t="s">
        <v>294</v>
      </c>
      <c r="C17" s="12">
        <v>10000</v>
      </c>
      <c r="D17" s="12"/>
      <c r="E17" s="12"/>
      <c r="F17" s="12"/>
      <c r="G17" s="12">
        <v>10000</v>
      </c>
    </row>
    <row r="18" ht="18.75" customHeight="1">
      <c r="A18" s="102" t="s">
        <v>295</v>
      </c>
      <c r="B18" s="102" t="s">
        <v>296</v>
      </c>
      <c r="C18" s="12">
        <v>10000</v>
      </c>
      <c r="D18" s="12"/>
      <c r="E18" s="12"/>
      <c r="F18" s="12"/>
      <c r="G18" s="12">
        <v>10000</v>
      </c>
    </row>
    <row r="19" ht="18.75" customHeight="1">
      <c r="A19" s="101" t="s">
        <v>297</v>
      </c>
      <c r="B19" s="101" t="s">
        <v>298</v>
      </c>
      <c r="C19" s="12">
        <v>298394.68</v>
      </c>
      <c r="D19" s="12">
        <v>298394.68</v>
      </c>
      <c r="E19" s="12">
        <v>241555</v>
      </c>
      <c r="F19" s="12">
        <v>56839.68</v>
      </c>
      <c r="G19" s="12"/>
    </row>
    <row r="20" ht="18.75" customHeight="1">
      <c r="A20" s="102" t="s">
        <v>299</v>
      </c>
      <c r="B20" s="102" t="s">
        <v>280</v>
      </c>
      <c r="C20" s="12">
        <v>298394.68</v>
      </c>
      <c r="D20" s="12">
        <v>298394.68</v>
      </c>
      <c r="E20" s="12">
        <v>241555</v>
      </c>
      <c r="F20" s="12">
        <v>56839.68</v>
      </c>
      <c r="G20" s="12"/>
    </row>
    <row r="21" ht="18.75" customHeight="1">
      <c r="A21" s="101" t="s">
        <v>300</v>
      </c>
      <c r="B21" s="101" t="s">
        <v>301</v>
      </c>
      <c r="C21" s="12">
        <v>935796.64</v>
      </c>
      <c r="D21" s="12">
        <v>935796.64</v>
      </c>
      <c r="E21" s="12">
        <v>833004</v>
      </c>
      <c r="F21" s="12">
        <v>102792.64</v>
      </c>
      <c r="G21" s="12"/>
    </row>
    <row r="22" ht="18.75" customHeight="1">
      <c r="A22" s="102" t="s">
        <v>302</v>
      </c>
      <c r="B22" s="102" t="s">
        <v>280</v>
      </c>
      <c r="C22" s="12">
        <v>935796.64</v>
      </c>
      <c r="D22" s="12">
        <v>935796.64</v>
      </c>
      <c r="E22" s="12">
        <v>833004</v>
      </c>
      <c r="F22" s="12">
        <v>102792.64</v>
      </c>
      <c r="G22" s="12"/>
    </row>
    <row r="23" ht="18.75" customHeight="1">
      <c r="A23" s="101" t="s">
        <v>303</v>
      </c>
      <c r="B23" s="101" t="s">
        <v>304</v>
      </c>
      <c r="C23" s="12">
        <v>1166529.03</v>
      </c>
      <c r="D23" s="12">
        <v>1166529.03</v>
      </c>
      <c r="E23" s="12">
        <v>1109369.75</v>
      </c>
      <c r="F23" s="12">
        <v>57159.28</v>
      </c>
      <c r="G23" s="12"/>
    </row>
    <row r="24" ht="18.75" customHeight="1">
      <c r="A24" s="102" t="s">
        <v>305</v>
      </c>
      <c r="B24" s="102" t="s">
        <v>306</v>
      </c>
      <c r="C24" s="12">
        <v>1166529.03</v>
      </c>
      <c r="D24" s="12">
        <v>1166529.03</v>
      </c>
      <c r="E24" s="12">
        <v>1109369.75</v>
      </c>
      <c r="F24" s="12">
        <v>57159.28</v>
      </c>
      <c r="G24" s="12"/>
    </row>
    <row r="25" ht="18.75" customHeight="1">
      <c r="A25" s="101" t="s">
        <v>307</v>
      </c>
      <c r="B25" s="101" t="s">
        <v>308</v>
      </c>
      <c r="C25" s="12">
        <v>8400</v>
      </c>
      <c r="D25" s="12">
        <v>8400</v>
      </c>
      <c r="E25" s="12">
        <v>8400</v>
      </c>
      <c r="F25" s="12"/>
      <c r="G25" s="12"/>
    </row>
    <row r="26" ht="18.75" customHeight="1">
      <c r="A26" s="102" t="s">
        <v>309</v>
      </c>
      <c r="B26" s="102" t="s">
        <v>310</v>
      </c>
      <c r="C26" s="12">
        <v>8400</v>
      </c>
      <c r="D26" s="12">
        <v>8400</v>
      </c>
      <c r="E26" s="12">
        <v>8400</v>
      </c>
      <c r="F26" s="12"/>
      <c r="G26" s="12"/>
    </row>
    <row r="27" ht="18.75" customHeight="1">
      <c r="A27" s="101" t="s">
        <v>311</v>
      </c>
      <c r="B27" s="101" t="s">
        <v>312</v>
      </c>
      <c r="C27" s="12">
        <v>269346.92</v>
      </c>
      <c r="D27" s="12">
        <v>269346.92</v>
      </c>
      <c r="E27" s="12">
        <v>239997</v>
      </c>
      <c r="F27" s="12">
        <v>29349.92</v>
      </c>
      <c r="G27" s="12"/>
    </row>
    <row r="28" ht="18.75" customHeight="1">
      <c r="A28" s="102" t="s">
        <v>313</v>
      </c>
      <c r="B28" s="102" t="s">
        <v>280</v>
      </c>
      <c r="C28" s="12">
        <v>269346.92</v>
      </c>
      <c r="D28" s="12">
        <v>269346.92</v>
      </c>
      <c r="E28" s="12">
        <v>239997</v>
      </c>
      <c r="F28" s="12">
        <v>29349.92</v>
      </c>
      <c r="G28" s="12"/>
    </row>
    <row r="29" ht="18.75" customHeight="1">
      <c r="A29" s="100" t="s">
        <v>127</v>
      </c>
      <c r="B29" s="100" t="s">
        <v>128</v>
      </c>
      <c r="C29" s="12">
        <v>13440</v>
      </c>
      <c r="D29" s="12">
        <v>13440</v>
      </c>
      <c r="E29" s="12">
        <v>13440</v>
      </c>
      <c r="F29" s="12"/>
      <c r="G29" s="12"/>
    </row>
    <row r="30" ht="18.75" customHeight="1">
      <c r="A30" s="101" t="s">
        <v>314</v>
      </c>
      <c r="B30" s="101" t="s">
        <v>315</v>
      </c>
      <c r="C30" s="12">
        <v>13440</v>
      </c>
      <c r="D30" s="12">
        <v>13440</v>
      </c>
      <c r="E30" s="12">
        <v>13440</v>
      </c>
      <c r="F30" s="12"/>
      <c r="G30" s="12"/>
    </row>
    <row r="31" ht="18.75" customHeight="1">
      <c r="A31" s="102" t="s">
        <v>316</v>
      </c>
      <c r="B31" s="102" t="s">
        <v>317</v>
      </c>
      <c r="C31" s="12">
        <v>13440</v>
      </c>
      <c r="D31" s="12">
        <v>13440</v>
      </c>
      <c r="E31" s="12">
        <v>13440</v>
      </c>
      <c r="F31" s="12"/>
      <c r="G31" s="12"/>
    </row>
    <row r="32" ht="18.75" customHeight="1">
      <c r="A32" s="100" t="s">
        <v>133</v>
      </c>
      <c r="B32" s="100" t="s">
        <v>134</v>
      </c>
      <c r="C32" s="12">
        <v>42000</v>
      </c>
      <c r="D32" s="12">
        <v>42000</v>
      </c>
      <c r="E32" s="12">
        <v>42000</v>
      </c>
      <c r="F32" s="12"/>
      <c r="G32" s="12"/>
    </row>
    <row r="33" ht="18.75" customHeight="1">
      <c r="A33" s="101" t="s">
        <v>318</v>
      </c>
      <c r="B33" s="101" t="s">
        <v>319</v>
      </c>
      <c r="C33" s="12">
        <v>42000</v>
      </c>
      <c r="D33" s="12">
        <v>42000</v>
      </c>
      <c r="E33" s="12">
        <v>42000</v>
      </c>
      <c r="F33" s="12"/>
      <c r="G33" s="12"/>
    </row>
    <row r="34" ht="18.75" customHeight="1">
      <c r="A34" s="102" t="s">
        <v>320</v>
      </c>
      <c r="B34" s="102" t="s">
        <v>321</v>
      </c>
      <c r="C34" s="12">
        <v>42000</v>
      </c>
      <c r="D34" s="12">
        <v>42000</v>
      </c>
      <c r="E34" s="12">
        <v>42000</v>
      </c>
      <c r="F34" s="12"/>
      <c r="G34" s="12"/>
    </row>
    <row r="35" ht="18.75" customHeight="1">
      <c r="A35" s="100" t="s">
        <v>139</v>
      </c>
      <c r="B35" s="100" t="s">
        <v>140</v>
      </c>
      <c r="C35" s="12">
        <v>1962195.84</v>
      </c>
      <c r="D35" s="12">
        <v>1962195.84</v>
      </c>
      <c r="E35" s="12">
        <v>1962195.84</v>
      </c>
      <c r="F35" s="12"/>
      <c r="G35" s="12"/>
    </row>
    <row r="36" ht="18.75" customHeight="1">
      <c r="A36" s="101" t="s">
        <v>322</v>
      </c>
      <c r="B36" s="101" t="s">
        <v>323</v>
      </c>
      <c r="C36" s="12">
        <v>148680</v>
      </c>
      <c r="D36" s="12">
        <v>148680</v>
      </c>
      <c r="E36" s="12">
        <v>148680</v>
      </c>
      <c r="F36" s="12"/>
      <c r="G36" s="12"/>
    </row>
    <row r="37" ht="18.75" customHeight="1">
      <c r="A37" s="102" t="s">
        <v>324</v>
      </c>
      <c r="B37" s="102" t="s">
        <v>325</v>
      </c>
      <c r="C37" s="12">
        <v>148680</v>
      </c>
      <c r="D37" s="12">
        <v>148680</v>
      </c>
      <c r="E37" s="12">
        <v>148680</v>
      </c>
      <c r="F37" s="12"/>
      <c r="G37" s="12"/>
    </row>
    <row r="38" ht="18.75" customHeight="1">
      <c r="A38" s="101" t="s">
        <v>326</v>
      </c>
      <c r="B38" s="101" t="s">
        <v>327</v>
      </c>
      <c r="C38" s="12">
        <v>1722381.6</v>
      </c>
      <c r="D38" s="12">
        <v>1722381.6</v>
      </c>
      <c r="E38" s="12">
        <v>1722381.6</v>
      </c>
      <c r="F38" s="12"/>
      <c r="G38" s="12"/>
    </row>
    <row r="39" ht="18.75" customHeight="1">
      <c r="A39" s="102" t="s">
        <v>328</v>
      </c>
      <c r="B39" s="102" t="s">
        <v>329</v>
      </c>
      <c r="C39" s="12">
        <v>680455.2</v>
      </c>
      <c r="D39" s="12">
        <v>680455.2</v>
      </c>
      <c r="E39" s="12">
        <v>680455.2</v>
      </c>
      <c r="F39" s="12"/>
      <c r="G39" s="12"/>
    </row>
    <row r="40" ht="18.75" customHeight="1">
      <c r="A40" s="102" t="s">
        <v>330</v>
      </c>
      <c r="B40" s="102" t="s">
        <v>331</v>
      </c>
      <c r="C40" s="12">
        <v>1041926.4</v>
      </c>
      <c r="D40" s="12">
        <v>1041926.4</v>
      </c>
      <c r="E40" s="12">
        <v>1041926.4</v>
      </c>
      <c r="F40" s="12"/>
      <c r="G40" s="12"/>
    </row>
    <row r="41" ht="18.75" customHeight="1">
      <c r="A41" s="101" t="s">
        <v>332</v>
      </c>
      <c r="B41" s="101" t="s">
        <v>333</v>
      </c>
      <c r="C41" s="12">
        <v>61734.24</v>
      </c>
      <c r="D41" s="12">
        <v>61734.24</v>
      </c>
      <c r="E41" s="12">
        <v>61734.24</v>
      </c>
      <c r="F41" s="12"/>
      <c r="G41" s="12"/>
    </row>
    <row r="42" ht="18.75" customHeight="1">
      <c r="A42" s="102" t="s">
        <v>334</v>
      </c>
      <c r="B42" s="102" t="s">
        <v>335</v>
      </c>
      <c r="C42" s="12">
        <v>61734.24</v>
      </c>
      <c r="D42" s="12">
        <v>61734.24</v>
      </c>
      <c r="E42" s="12">
        <v>61734.24</v>
      </c>
      <c r="F42" s="12"/>
      <c r="G42" s="12"/>
    </row>
    <row r="43" ht="18.75" customHeight="1">
      <c r="A43" s="101" t="s">
        <v>336</v>
      </c>
      <c r="B43" s="101" t="s">
        <v>337</v>
      </c>
      <c r="C43" s="12">
        <v>12600</v>
      </c>
      <c r="D43" s="12">
        <v>12600</v>
      </c>
      <c r="E43" s="12">
        <v>12600</v>
      </c>
      <c r="F43" s="12"/>
      <c r="G43" s="12"/>
    </row>
    <row r="44" ht="18.75" customHeight="1">
      <c r="A44" s="102" t="s">
        <v>338</v>
      </c>
      <c r="B44" s="102" t="s">
        <v>339</v>
      </c>
      <c r="C44" s="12">
        <v>12600</v>
      </c>
      <c r="D44" s="12">
        <v>12600</v>
      </c>
      <c r="E44" s="12">
        <v>12600</v>
      </c>
      <c r="F44" s="12"/>
      <c r="G44" s="12"/>
    </row>
    <row r="45" ht="18.75" customHeight="1">
      <c r="A45" s="101" t="s">
        <v>340</v>
      </c>
      <c r="B45" s="101" t="s">
        <v>341</v>
      </c>
      <c r="C45" s="12">
        <v>16800</v>
      </c>
      <c r="D45" s="12">
        <v>16800</v>
      </c>
      <c r="E45" s="12">
        <v>16800</v>
      </c>
      <c r="F45" s="12"/>
      <c r="G45" s="12"/>
    </row>
    <row r="46" ht="18.75" customHeight="1">
      <c r="A46" s="102" t="s">
        <v>342</v>
      </c>
      <c r="B46" s="102" t="s">
        <v>343</v>
      </c>
      <c r="C46" s="12">
        <v>16800</v>
      </c>
      <c r="D46" s="12">
        <v>16800</v>
      </c>
      <c r="E46" s="12">
        <v>16800</v>
      </c>
      <c r="F46" s="12"/>
      <c r="G46" s="12"/>
    </row>
    <row r="47" ht="18.75" customHeight="1">
      <c r="A47" s="100" t="s">
        <v>165</v>
      </c>
      <c r="B47" s="100" t="s">
        <v>166</v>
      </c>
      <c r="C47" s="12">
        <v>558298.92</v>
      </c>
      <c r="D47" s="12">
        <v>558298.92</v>
      </c>
      <c r="E47" s="12">
        <v>558298.92</v>
      </c>
      <c r="F47" s="12"/>
      <c r="G47" s="12"/>
    </row>
    <row r="48" ht="18.75" customHeight="1">
      <c r="A48" s="101" t="s">
        <v>344</v>
      </c>
      <c r="B48" s="101" t="s">
        <v>345</v>
      </c>
      <c r="C48" s="12">
        <v>60120</v>
      </c>
      <c r="D48" s="12">
        <v>60120</v>
      </c>
      <c r="E48" s="12">
        <v>60120</v>
      </c>
      <c r="F48" s="12"/>
      <c r="G48" s="12"/>
    </row>
    <row r="49" ht="18.75" customHeight="1">
      <c r="A49" s="102" t="s">
        <v>346</v>
      </c>
      <c r="B49" s="102" t="s">
        <v>347</v>
      </c>
      <c r="C49" s="12">
        <v>60120</v>
      </c>
      <c r="D49" s="12">
        <v>60120</v>
      </c>
      <c r="E49" s="12">
        <v>60120</v>
      </c>
      <c r="F49" s="12"/>
      <c r="G49" s="12"/>
    </row>
    <row r="50" ht="18.75" customHeight="1">
      <c r="A50" s="101" t="s">
        <v>348</v>
      </c>
      <c r="B50" s="101" t="s">
        <v>349</v>
      </c>
      <c r="C50" s="12">
        <v>498178.92</v>
      </c>
      <c r="D50" s="12">
        <v>498178.92</v>
      </c>
      <c r="E50" s="12">
        <v>498178.92</v>
      </c>
      <c r="F50" s="12"/>
      <c r="G50" s="12"/>
    </row>
    <row r="51" ht="18.75" customHeight="1">
      <c r="A51" s="102" t="s">
        <v>350</v>
      </c>
      <c r="B51" s="102" t="s">
        <v>351</v>
      </c>
      <c r="C51" s="12">
        <v>179190.94</v>
      </c>
      <c r="D51" s="12">
        <v>179190.94</v>
      </c>
      <c r="E51" s="12">
        <v>179190.94</v>
      </c>
      <c r="F51" s="12"/>
      <c r="G51" s="12"/>
    </row>
    <row r="52" ht="18.75" customHeight="1">
      <c r="A52" s="102" t="s">
        <v>352</v>
      </c>
      <c r="B52" s="102" t="s">
        <v>353</v>
      </c>
      <c r="C52" s="12">
        <v>283163.9</v>
      </c>
      <c r="D52" s="12">
        <v>283163.9</v>
      </c>
      <c r="E52" s="12">
        <v>283163.9</v>
      </c>
      <c r="F52" s="12"/>
      <c r="G52" s="12"/>
    </row>
    <row r="53" ht="18.75" customHeight="1">
      <c r="A53" s="102" t="s">
        <v>354</v>
      </c>
      <c r="B53" s="102" t="s">
        <v>355</v>
      </c>
      <c r="C53" s="12">
        <v>35824.08</v>
      </c>
      <c r="D53" s="12">
        <v>35824.08</v>
      </c>
      <c r="E53" s="12">
        <v>35824.08</v>
      </c>
      <c r="F53" s="12"/>
      <c r="G53" s="12"/>
    </row>
    <row r="54" ht="18.75" customHeight="1">
      <c r="A54" s="100" t="s">
        <v>181</v>
      </c>
      <c r="B54" s="100" t="s">
        <v>182</v>
      </c>
      <c r="C54" s="12">
        <v>200000</v>
      </c>
      <c r="D54" s="12"/>
      <c r="E54" s="12"/>
      <c r="F54" s="12"/>
      <c r="G54" s="12">
        <v>200000</v>
      </c>
    </row>
    <row r="55" ht="18.75" customHeight="1">
      <c r="A55" s="101" t="s">
        <v>356</v>
      </c>
      <c r="B55" s="101" t="s">
        <v>357</v>
      </c>
      <c r="C55" s="12">
        <v>200000</v>
      </c>
      <c r="D55" s="12"/>
      <c r="E55" s="12"/>
      <c r="F55" s="12"/>
      <c r="G55" s="12">
        <v>200000</v>
      </c>
    </row>
    <row r="56" ht="18.75" customHeight="1">
      <c r="A56" s="102" t="s">
        <v>358</v>
      </c>
      <c r="B56" s="102" t="s">
        <v>359</v>
      </c>
      <c r="C56" s="12">
        <v>200000</v>
      </c>
      <c r="D56" s="12"/>
      <c r="E56" s="12"/>
      <c r="F56" s="12"/>
      <c r="G56" s="12">
        <v>200000</v>
      </c>
    </row>
    <row r="57" ht="18.75" customHeight="1">
      <c r="A57" s="100" t="s">
        <v>187</v>
      </c>
      <c r="B57" s="100" t="s">
        <v>188</v>
      </c>
      <c r="C57" s="12">
        <v>1304074.28</v>
      </c>
      <c r="D57" s="12">
        <v>1304074.28</v>
      </c>
      <c r="E57" s="12">
        <v>1244958.52</v>
      </c>
      <c r="F57" s="12">
        <v>59115.76</v>
      </c>
      <c r="G57" s="12"/>
    </row>
    <row r="58" ht="18.75" customHeight="1">
      <c r="A58" s="101" t="s">
        <v>360</v>
      </c>
      <c r="B58" s="101" t="s">
        <v>361</v>
      </c>
      <c r="C58" s="12">
        <v>1261594.28</v>
      </c>
      <c r="D58" s="12">
        <v>1261594.28</v>
      </c>
      <c r="E58" s="12">
        <v>1202478.52</v>
      </c>
      <c r="F58" s="12">
        <v>59115.76</v>
      </c>
      <c r="G58" s="12"/>
    </row>
    <row r="59" ht="18.75" customHeight="1">
      <c r="A59" s="102" t="s">
        <v>362</v>
      </c>
      <c r="B59" s="102" t="s">
        <v>363</v>
      </c>
      <c r="C59" s="12">
        <v>1261594.28</v>
      </c>
      <c r="D59" s="12">
        <v>1261594.28</v>
      </c>
      <c r="E59" s="12">
        <v>1202478.52</v>
      </c>
      <c r="F59" s="12">
        <v>59115.76</v>
      </c>
      <c r="G59" s="12"/>
    </row>
    <row r="60" ht="18.75" customHeight="1">
      <c r="A60" s="101" t="s">
        <v>364</v>
      </c>
      <c r="B60" s="101" t="s">
        <v>365</v>
      </c>
      <c r="C60" s="12">
        <v>42480</v>
      </c>
      <c r="D60" s="12">
        <v>42480</v>
      </c>
      <c r="E60" s="12">
        <v>42480</v>
      </c>
      <c r="F60" s="12"/>
      <c r="G60" s="12"/>
    </row>
    <row r="61" ht="18.75" customHeight="1">
      <c r="A61" s="102" t="s">
        <v>366</v>
      </c>
      <c r="B61" s="102" t="s">
        <v>365</v>
      </c>
      <c r="C61" s="12">
        <v>42480</v>
      </c>
      <c r="D61" s="12">
        <v>42480</v>
      </c>
      <c r="E61" s="12">
        <v>42480</v>
      </c>
      <c r="F61" s="12"/>
      <c r="G61" s="12"/>
    </row>
    <row r="62" ht="18.75" customHeight="1">
      <c r="A62" s="100" t="s">
        <v>197</v>
      </c>
      <c r="B62" s="100" t="s">
        <v>198</v>
      </c>
      <c r="C62" s="12">
        <v>3331084.74</v>
      </c>
      <c r="D62" s="12">
        <v>3061084.74</v>
      </c>
      <c r="E62" s="12">
        <v>2925595.3</v>
      </c>
      <c r="F62" s="12">
        <v>135489.44</v>
      </c>
      <c r="G62" s="12">
        <v>270000</v>
      </c>
    </row>
    <row r="63" ht="18.75" customHeight="1">
      <c r="A63" s="101" t="s">
        <v>367</v>
      </c>
      <c r="B63" s="101" t="s">
        <v>368</v>
      </c>
      <c r="C63" s="12">
        <v>3131084.74</v>
      </c>
      <c r="D63" s="12">
        <v>3061084.74</v>
      </c>
      <c r="E63" s="12">
        <v>2925595.3</v>
      </c>
      <c r="F63" s="12">
        <v>135489.44</v>
      </c>
      <c r="G63" s="12">
        <v>70000</v>
      </c>
    </row>
    <row r="64" ht="18.75" customHeight="1">
      <c r="A64" s="102" t="s">
        <v>369</v>
      </c>
      <c r="B64" s="102" t="s">
        <v>280</v>
      </c>
      <c r="C64" s="12">
        <v>42000</v>
      </c>
      <c r="D64" s="12">
        <v>42000</v>
      </c>
      <c r="E64" s="12">
        <v>42000</v>
      </c>
      <c r="F64" s="12"/>
      <c r="G64" s="12"/>
    </row>
    <row r="65" ht="18.75" customHeight="1">
      <c r="A65" s="102" t="s">
        <v>370</v>
      </c>
      <c r="B65" s="102" t="s">
        <v>306</v>
      </c>
      <c r="C65" s="12">
        <v>3019084.74</v>
      </c>
      <c r="D65" s="12">
        <v>3019084.74</v>
      </c>
      <c r="E65" s="12">
        <v>2883595.3</v>
      </c>
      <c r="F65" s="12">
        <v>135489.44</v>
      </c>
      <c r="G65" s="12"/>
    </row>
    <row r="66" ht="18.75" customHeight="1">
      <c r="A66" s="102" t="s">
        <v>371</v>
      </c>
      <c r="B66" s="102" t="s">
        <v>372</v>
      </c>
      <c r="C66" s="12">
        <v>30000</v>
      </c>
      <c r="D66" s="12"/>
      <c r="E66" s="12"/>
      <c r="F66" s="12"/>
      <c r="G66" s="12">
        <v>30000</v>
      </c>
    </row>
    <row r="67" ht="18.75" customHeight="1">
      <c r="A67" s="102" t="s">
        <v>373</v>
      </c>
      <c r="B67" s="102" t="s">
        <v>374</v>
      </c>
      <c r="C67" s="12">
        <v>40000</v>
      </c>
      <c r="D67" s="12"/>
      <c r="E67" s="12"/>
      <c r="F67" s="12"/>
      <c r="G67" s="12">
        <v>40000</v>
      </c>
    </row>
    <row r="68" ht="18.75" customHeight="1">
      <c r="A68" s="101" t="s">
        <v>375</v>
      </c>
      <c r="B68" s="101" t="s">
        <v>376</v>
      </c>
      <c r="C68" s="12">
        <v>200000</v>
      </c>
      <c r="D68" s="12"/>
      <c r="E68" s="12"/>
      <c r="F68" s="12"/>
      <c r="G68" s="12">
        <v>200000</v>
      </c>
    </row>
    <row r="69" ht="18.75" customHeight="1">
      <c r="A69" s="102" t="s">
        <v>377</v>
      </c>
      <c r="B69" s="102" t="s">
        <v>378</v>
      </c>
      <c r="C69" s="12">
        <v>160000</v>
      </c>
      <c r="D69" s="12"/>
      <c r="E69" s="12"/>
      <c r="F69" s="12"/>
      <c r="G69" s="12">
        <v>160000</v>
      </c>
    </row>
    <row r="70" ht="18.75" customHeight="1">
      <c r="A70" s="102" t="s">
        <v>379</v>
      </c>
      <c r="B70" s="102" t="s">
        <v>380</v>
      </c>
      <c r="C70" s="12">
        <v>40000</v>
      </c>
      <c r="D70" s="12"/>
      <c r="E70" s="12"/>
      <c r="F70" s="12"/>
      <c r="G70" s="12">
        <v>40000</v>
      </c>
    </row>
    <row r="71" ht="18.75" customHeight="1">
      <c r="A71" s="100" t="s">
        <v>213</v>
      </c>
      <c r="B71" s="100" t="s">
        <v>214</v>
      </c>
      <c r="C71" s="12">
        <v>781444.8</v>
      </c>
      <c r="D71" s="12">
        <v>781444.8</v>
      </c>
      <c r="E71" s="12">
        <v>781444.8</v>
      </c>
      <c r="F71" s="12"/>
      <c r="G71" s="12"/>
    </row>
    <row r="72" ht="18.75" customHeight="1">
      <c r="A72" s="101" t="s">
        <v>381</v>
      </c>
      <c r="B72" s="101" t="s">
        <v>382</v>
      </c>
      <c r="C72" s="12">
        <v>781444.8</v>
      </c>
      <c r="D72" s="12">
        <v>781444.8</v>
      </c>
      <c r="E72" s="12">
        <v>781444.8</v>
      </c>
      <c r="F72" s="12"/>
      <c r="G72" s="12"/>
    </row>
    <row r="73" ht="18.75" customHeight="1">
      <c r="A73" s="102" t="s">
        <v>383</v>
      </c>
      <c r="B73" s="102" t="s">
        <v>384</v>
      </c>
      <c r="C73" s="12">
        <v>781444.8</v>
      </c>
      <c r="D73" s="12">
        <v>781444.8</v>
      </c>
      <c r="E73" s="12">
        <v>781444.8</v>
      </c>
      <c r="F73" s="12"/>
      <c r="G73" s="12"/>
    </row>
    <row r="74" ht="18.75" customHeight="1">
      <c r="A74" s="100" t="s">
        <v>219</v>
      </c>
      <c r="B74" s="100" t="s">
        <v>220</v>
      </c>
      <c r="C74" s="12">
        <v>57800</v>
      </c>
      <c r="D74" s="12">
        <v>10800</v>
      </c>
      <c r="E74" s="12">
        <v>10800</v>
      </c>
      <c r="F74" s="12"/>
      <c r="G74" s="12">
        <v>47000</v>
      </c>
    </row>
    <row r="75" ht="18.75" customHeight="1">
      <c r="A75" s="101" t="s">
        <v>385</v>
      </c>
      <c r="B75" s="101" t="s">
        <v>386</v>
      </c>
      <c r="C75" s="12">
        <v>10800</v>
      </c>
      <c r="D75" s="12">
        <v>10800</v>
      </c>
      <c r="E75" s="12">
        <v>10800</v>
      </c>
      <c r="F75" s="12"/>
      <c r="G75" s="12"/>
    </row>
    <row r="76" ht="18.75" customHeight="1">
      <c r="A76" s="102" t="s">
        <v>387</v>
      </c>
      <c r="B76" s="102" t="s">
        <v>280</v>
      </c>
      <c r="C76" s="12">
        <v>10800</v>
      </c>
      <c r="D76" s="12">
        <v>10800</v>
      </c>
      <c r="E76" s="12">
        <v>10800</v>
      </c>
      <c r="F76" s="12"/>
      <c r="G76" s="12"/>
    </row>
    <row r="77" ht="18.75" customHeight="1">
      <c r="A77" s="101" t="s">
        <v>388</v>
      </c>
      <c r="B77" s="101" t="s">
        <v>389</v>
      </c>
      <c r="C77" s="12">
        <v>47000</v>
      </c>
      <c r="D77" s="12"/>
      <c r="E77" s="12"/>
      <c r="F77" s="12"/>
      <c r="G77" s="12">
        <v>47000</v>
      </c>
    </row>
    <row r="78" ht="18.75" customHeight="1">
      <c r="A78" s="102" t="s">
        <v>390</v>
      </c>
      <c r="B78" s="102" t="s">
        <v>391</v>
      </c>
      <c r="C78" s="12">
        <v>47000</v>
      </c>
      <c r="D78" s="12"/>
      <c r="E78" s="12"/>
      <c r="F78" s="12"/>
      <c r="G78" s="12">
        <v>47000</v>
      </c>
    </row>
    <row r="79" ht="18.75" customHeight="1">
      <c r="A79" s="103" t="s">
        <v>59</v>
      </c>
      <c r="B79" s="103"/>
      <c r="C79" s="12">
        <v>17142997.05</v>
      </c>
      <c r="D79" s="12">
        <v>16481497.05</v>
      </c>
      <c r="E79" s="12">
        <v>15196916.75</v>
      </c>
      <c r="F79" s="12">
        <v>1284580.3</v>
      </c>
      <c r="G79" s="12">
        <v>661500</v>
      </c>
    </row>
  </sheetData>
  <mergeCells>
    <mergeCell ref="A2:G2"/>
    <mergeCell ref="A4:B4"/>
    <mergeCell ref="A3:E3"/>
    <mergeCell ref="G4:G5"/>
    <mergeCell ref="D4:F4"/>
    <mergeCell ref="C4:C5"/>
    <mergeCell ref="A79:B79"/>
  </mergeCells>
  <extLst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37D0F9-789F-6965-494E-6E1404B23CD6}" mc:Ignorable="x14ac xr xr2 xr3">
  <sheetPr>
    <outlinePr summaryBelow="0" summaryRight="0"/>
  </sheetPr>
  <dimension ref="A1:L8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2" width="23.8515625" customWidth="1"/>
  </cols>
  <sheetData>
    <row r="1" ht="14.25" customHeight="1">
      <c r="A1" s="104"/>
      <c r="B1" s="104"/>
      <c r="C1" s="105"/>
      <c r="E1" s="106"/>
      <c r="F1" s="107"/>
      <c r="H1" s="107"/>
      <c r="J1" s="108"/>
      <c r="K1" s="108"/>
      <c r="L1" s="109" t="s">
        <v>392</v>
      </c>
    </row>
    <row r="2" ht="39" customHeight="1">
      <c r="A2" s="110" t="s">
        <v>393</v>
      </c>
      <c r="B2" s="111"/>
      <c r="C2" s="112"/>
      <c r="D2" s="111"/>
      <c r="E2" s="112"/>
      <c r="F2" s="111"/>
      <c r="G2" s="112"/>
      <c r="H2" s="111"/>
      <c r="I2" s="112"/>
      <c r="J2" s="111"/>
      <c r="K2" s="111"/>
      <c r="L2" s="112"/>
    </row>
    <row r="3" ht="18.75" customHeight="1">
      <c r="A3" s="113" t="str">
        <f>"单位名称："&amp;"耿马傣族佤族自治县勐永镇"</f>
        <v>单位名称：耿马傣族佤族自治县勐永镇</v>
      </c>
      <c r="B3" s="104"/>
      <c r="C3" s="105"/>
      <c r="D3" s="114"/>
      <c r="E3" s="106"/>
      <c r="F3" s="114"/>
      <c r="G3" s="114"/>
      <c r="H3" s="107"/>
      <c r="J3" s="108"/>
      <c r="K3" s="108"/>
      <c r="L3" s="109" t="s">
        <v>394</v>
      </c>
    </row>
    <row r="4" ht="18.75" customHeight="1">
      <c r="A4" s="115" t="s">
        <v>395</v>
      </c>
      <c r="B4" s="115" t="s">
        <v>396</v>
      </c>
      <c r="C4" s="116" t="s">
        <v>397</v>
      </c>
      <c r="D4" s="117"/>
      <c r="E4" s="116" t="s">
        <v>398</v>
      </c>
      <c r="F4" s="118"/>
      <c r="G4" s="118"/>
      <c r="H4" s="118"/>
      <c r="I4" s="118"/>
      <c r="J4" s="117"/>
      <c r="K4" s="116" t="s">
        <v>399</v>
      </c>
      <c r="L4" s="117" t="s">
        <v>399</v>
      </c>
    </row>
    <row r="5" ht="18.75" customHeight="1">
      <c r="A5" s="119"/>
      <c r="B5" s="120"/>
      <c r="C5" s="120" t="s">
        <v>400</v>
      </c>
      <c r="D5" s="121" t="s">
        <v>401</v>
      </c>
      <c r="E5" s="116" t="s">
        <v>61</v>
      </c>
      <c r="F5" s="117"/>
      <c r="G5" s="116" t="s">
        <v>402</v>
      </c>
      <c r="H5" s="117"/>
      <c r="I5" s="116" t="s">
        <v>403</v>
      </c>
      <c r="J5" s="117"/>
      <c r="K5" s="120" t="s">
        <v>400</v>
      </c>
      <c r="L5" s="120" t="s">
        <v>401</v>
      </c>
    </row>
    <row r="6" ht="18.75" customHeight="1">
      <c r="A6" s="122"/>
      <c r="B6" s="122"/>
      <c r="C6" s="123"/>
      <c r="D6" s="122"/>
      <c r="E6" s="124" t="s">
        <v>400</v>
      </c>
      <c r="F6" s="125" t="s">
        <v>401</v>
      </c>
      <c r="G6" s="126" t="s">
        <v>400</v>
      </c>
      <c r="H6" s="125" t="s">
        <v>401</v>
      </c>
      <c r="I6" s="126" t="s">
        <v>400</v>
      </c>
      <c r="J6" s="125" t="s">
        <v>401</v>
      </c>
      <c r="K6" s="122"/>
      <c r="L6" s="122"/>
    </row>
    <row r="7" ht="18.75" customHeight="1">
      <c r="A7" s="127">
        <v>1</v>
      </c>
      <c r="B7" s="128">
        <v>2</v>
      </c>
      <c r="C7" s="128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30">
        <v>9</v>
      </c>
      <c r="J7" s="128">
        <v>10</v>
      </c>
      <c r="K7" s="128">
        <v>11</v>
      </c>
      <c r="L7" s="128">
        <v>12</v>
      </c>
    </row>
    <row r="8" ht="18.75" customHeight="1">
      <c r="A8" s="12">
        <v>60000</v>
      </c>
      <c r="B8" s="12">
        <v>110000</v>
      </c>
      <c r="C8" s="12"/>
      <c r="D8" s="12"/>
      <c r="E8" s="12">
        <v>60000</v>
      </c>
      <c r="F8" s="12">
        <v>90000</v>
      </c>
      <c r="G8" s="12"/>
      <c r="H8" s="12"/>
      <c r="I8" s="12">
        <v>60000</v>
      </c>
      <c r="J8" s="12">
        <v>90000</v>
      </c>
      <c r="K8" s="12"/>
      <c r="L8" s="12">
        <v>20000</v>
      </c>
    </row>
  </sheetData>
  <mergeCells>
    <mergeCell ref="E4:J4"/>
    <mergeCell ref="A2:L2"/>
    <mergeCell ref="A3:E3"/>
    <mergeCell ref="C4:D4"/>
    <mergeCell ref="A4:A6"/>
    <mergeCell ref="B4:B6"/>
    <mergeCell ref="C5:C6"/>
    <mergeCell ref="D5:D6"/>
    <mergeCell ref="E5:F5"/>
    <mergeCell ref="G5:H5"/>
    <mergeCell ref="I5:J5"/>
    <mergeCell ref="K4:L4"/>
    <mergeCell ref="K5:K6"/>
    <mergeCell ref="L5:L6"/>
  </mergeCells>
  <extLst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CF23CC-26DE-4AA3-C5F1-7BA3810A5A79}" mc:Ignorable="x14ac xr xr2 xr3">
  <sheetPr>
    <outlinePr summaryBelow="0" summaryRight="0"/>
  </sheetPr>
  <dimension ref="A1:W168"/>
  <sheetViews>
    <sheetView showZeros="0" topLeftCell="L1" workbookViewId="0" tabSelected="1">
      <selection activeCell="A1" sqref="A1"/>
    </sheetView>
  </sheetViews>
  <sheetFormatPr defaultRowHeight="14.25" defaultColWidth="9.140625" customHeight="1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17.574218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r="1" ht="18.75" customHeight="1">
      <c r="B1" s="131"/>
      <c r="D1" s="132"/>
      <c r="E1" s="132"/>
      <c r="F1" s="132"/>
      <c r="G1" s="132"/>
      <c r="H1" s="25"/>
      <c r="I1" s="25"/>
      <c r="J1" s="25"/>
      <c r="K1" s="25"/>
      <c r="L1" s="25"/>
      <c r="M1" s="25"/>
      <c r="N1" s="57"/>
      <c r="O1" s="57"/>
      <c r="P1" s="57"/>
      <c r="Q1" s="25"/>
      <c r="U1" s="131"/>
      <c r="W1" s="26" t="s">
        <v>404</v>
      </c>
    </row>
    <row r="2" ht="39.75" customHeight="1">
      <c r="A2" s="133" t="str">
        <f>"2025"&amp;"年部门基本支出预算表"</f>
        <v>2025年部门基本支出预算表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135"/>
      <c r="P2" s="135"/>
      <c r="Q2" s="134"/>
      <c r="R2" s="134"/>
      <c r="S2" s="134"/>
      <c r="T2" s="134"/>
      <c r="U2" s="134"/>
      <c r="V2" s="134"/>
      <c r="W2" s="134"/>
    </row>
    <row r="3" ht="18.75" customHeight="1">
      <c r="A3" s="88" t="str">
        <f>"单位名称："&amp;"耿马傣族佤族自治县勐永镇"</f>
        <v>单位名称：耿马傣族佤族自治县勐永镇</v>
      </c>
      <c r="B3" s="136"/>
      <c r="C3" s="136"/>
      <c r="D3" s="136"/>
      <c r="E3" s="136"/>
      <c r="F3" s="136"/>
      <c r="G3" s="136"/>
      <c r="H3" s="137"/>
      <c r="I3" s="137"/>
      <c r="J3" s="137"/>
      <c r="K3" s="137"/>
      <c r="L3" s="137"/>
      <c r="M3" s="137"/>
      <c r="N3" s="138"/>
      <c r="O3" s="138"/>
      <c r="P3" s="138"/>
      <c r="Q3" s="137"/>
      <c r="U3" s="131"/>
      <c r="W3" s="26" t="s">
        <v>394</v>
      </c>
    </row>
    <row r="4" ht="18.75" customHeight="1">
      <c r="A4" s="59" t="s">
        <v>406</v>
      </c>
      <c r="B4" s="59" t="s">
        <v>407</v>
      </c>
      <c r="C4" s="59" t="s">
        <v>408</v>
      </c>
      <c r="D4" s="59" t="s">
        <v>409</v>
      </c>
      <c r="E4" s="59" t="s">
        <v>410</v>
      </c>
      <c r="F4" s="59" t="s">
        <v>411</v>
      </c>
      <c r="G4" s="59" t="s">
        <v>412</v>
      </c>
      <c r="H4" s="93" t="s">
        <v>413</v>
      </c>
      <c r="I4" s="139" t="s">
        <v>413</v>
      </c>
      <c r="J4" s="139"/>
      <c r="K4" s="139"/>
      <c r="L4" s="139"/>
      <c r="M4" s="139"/>
      <c r="N4" s="62"/>
      <c r="O4" s="62"/>
      <c r="P4" s="62"/>
      <c r="Q4" s="60" t="s">
        <v>65</v>
      </c>
      <c r="R4" s="139" t="s">
        <v>82</v>
      </c>
      <c r="S4" s="139"/>
      <c r="T4" s="139"/>
      <c r="U4" s="139"/>
      <c r="V4" s="139"/>
      <c r="W4" s="140"/>
    </row>
    <row r="5" ht="18.75" customHeight="1">
      <c r="A5" s="141"/>
      <c r="B5" s="142"/>
      <c r="C5" s="141"/>
      <c r="D5" s="141"/>
      <c r="E5" s="141"/>
      <c r="F5" s="141"/>
      <c r="G5" s="141"/>
      <c r="H5" s="92" t="s">
        <v>414</v>
      </c>
      <c r="I5" s="93" t="s">
        <v>62</v>
      </c>
      <c r="J5" s="139"/>
      <c r="K5" s="139"/>
      <c r="L5" s="139"/>
      <c r="M5" s="140"/>
      <c r="N5" s="6" t="s">
        <v>415</v>
      </c>
      <c r="O5" s="62"/>
      <c r="P5" s="7"/>
      <c r="Q5" s="59" t="s">
        <v>65</v>
      </c>
      <c r="R5" s="93" t="s">
        <v>82</v>
      </c>
      <c r="S5" s="60" t="s">
        <v>68</v>
      </c>
      <c r="T5" s="139" t="s">
        <v>82</v>
      </c>
      <c r="U5" s="60" t="s">
        <v>70</v>
      </c>
      <c r="V5" s="60" t="s">
        <v>71</v>
      </c>
      <c r="W5" s="61" t="s">
        <v>72</v>
      </c>
    </row>
    <row r="6" ht="18.75" customHeight="1">
      <c r="A6" s="143"/>
      <c r="B6" s="143"/>
      <c r="C6" s="143"/>
      <c r="D6" s="143"/>
      <c r="E6" s="143"/>
      <c r="F6" s="143"/>
      <c r="G6" s="143"/>
      <c r="H6" s="143"/>
      <c r="I6" s="144" t="s">
        <v>416</v>
      </c>
      <c r="J6" s="59" t="s">
        <v>417</v>
      </c>
      <c r="K6" s="59" t="s">
        <v>418</v>
      </c>
      <c r="L6" s="59" t="s">
        <v>419</v>
      </c>
      <c r="M6" s="59" t="s">
        <v>420</v>
      </c>
      <c r="N6" s="59" t="s">
        <v>62</v>
      </c>
      <c r="O6" s="59" t="s">
        <v>63</v>
      </c>
      <c r="P6" s="59" t="s">
        <v>64</v>
      </c>
      <c r="Q6" s="143"/>
      <c r="R6" s="59" t="s">
        <v>61</v>
      </c>
      <c r="S6" s="59" t="s">
        <v>68</v>
      </c>
      <c r="T6" s="59" t="s">
        <v>421</v>
      </c>
      <c r="U6" s="59" t="s">
        <v>70</v>
      </c>
      <c r="V6" s="59" t="s">
        <v>71</v>
      </c>
      <c r="W6" s="59" t="s">
        <v>72</v>
      </c>
    </row>
    <row r="7" ht="18.75" customHeight="1">
      <c r="A7" s="145"/>
      <c r="B7" s="145"/>
      <c r="C7" s="145"/>
      <c r="D7" s="145"/>
      <c r="E7" s="145"/>
      <c r="F7" s="145"/>
      <c r="G7" s="145"/>
      <c r="H7" s="145"/>
      <c r="I7" s="65"/>
      <c r="J7" s="146" t="s">
        <v>422</v>
      </c>
      <c r="K7" s="146" t="s">
        <v>418</v>
      </c>
      <c r="L7" s="146" t="s">
        <v>419</v>
      </c>
      <c r="M7" s="146" t="s">
        <v>420</v>
      </c>
      <c r="N7" s="146" t="s">
        <v>418</v>
      </c>
      <c r="O7" s="146" t="s">
        <v>419</v>
      </c>
      <c r="P7" s="146" t="s">
        <v>420</v>
      </c>
      <c r="Q7" s="146" t="s">
        <v>65</v>
      </c>
      <c r="R7" s="146" t="s">
        <v>61</v>
      </c>
      <c r="S7" s="146" t="s">
        <v>68</v>
      </c>
      <c r="T7" s="146" t="s">
        <v>421</v>
      </c>
      <c r="U7" s="146" t="s">
        <v>70</v>
      </c>
      <c r="V7" s="146" t="s">
        <v>71</v>
      </c>
      <c r="W7" s="146" t="s">
        <v>72</v>
      </c>
    </row>
    <row r="8" ht="18.75" customHeight="1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18.75" customHeight="1">
      <c r="A9" s="148" t="s">
        <v>423</v>
      </c>
      <c r="B9" s="148"/>
      <c r="C9" s="148"/>
      <c r="D9" s="148"/>
      <c r="E9" s="148"/>
      <c r="F9" s="148"/>
      <c r="G9" s="148"/>
      <c r="H9" s="12">
        <v>16481497.05</v>
      </c>
      <c r="I9" s="12">
        <v>16481497.05</v>
      </c>
      <c r="J9" s="12"/>
      <c r="K9" s="12"/>
      <c r="L9" s="12">
        <v>16481497.05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18.75" customHeight="1">
      <c r="A10" s="149" t="s">
        <v>74</v>
      </c>
      <c r="B10" s="150"/>
      <c r="C10" s="150"/>
      <c r="D10" s="150"/>
      <c r="E10" s="150"/>
      <c r="F10" s="150"/>
      <c r="G10" s="150"/>
      <c r="H10" s="12">
        <v>16481497.05</v>
      </c>
      <c r="I10" s="12">
        <v>16481497.05</v>
      </c>
      <c r="J10" s="12"/>
      <c r="K10" s="12"/>
      <c r="L10" s="12">
        <v>16481497.05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18.75" customHeight="1">
      <c r="A11" s="151"/>
      <c r="B11" s="150" t="s">
        <v>424</v>
      </c>
      <c r="C11" s="150" t="s">
        <v>425</v>
      </c>
      <c r="D11" s="150" t="s">
        <v>279</v>
      </c>
      <c r="E11" s="150" t="s">
        <v>280</v>
      </c>
      <c r="F11" s="150" t="s">
        <v>426</v>
      </c>
      <c r="G11" s="150" t="s">
        <v>427</v>
      </c>
      <c r="H11" s="12">
        <v>47724</v>
      </c>
      <c r="I11" s="12">
        <v>47724</v>
      </c>
      <c r="J11" s="12"/>
      <c r="K11" s="12"/>
      <c r="L11" s="12">
        <v>47724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18.75" customHeight="1">
      <c r="A12" s="151"/>
      <c r="B12" s="150" t="s">
        <v>424</v>
      </c>
      <c r="C12" s="150" t="s">
        <v>425</v>
      </c>
      <c r="D12" s="150" t="s">
        <v>285</v>
      </c>
      <c r="E12" s="150" t="s">
        <v>280</v>
      </c>
      <c r="F12" s="150" t="s">
        <v>426</v>
      </c>
      <c r="G12" s="150" t="s">
        <v>427</v>
      </c>
      <c r="H12" s="12">
        <v>497304</v>
      </c>
      <c r="I12" s="12">
        <v>497304</v>
      </c>
      <c r="J12" s="12"/>
      <c r="K12" s="12"/>
      <c r="L12" s="12">
        <v>497304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ht="18.75" customHeight="1">
      <c r="A13" s="151"/>
      <c r="B13" s="150" t="s">
        <v>424</v>
      </c>
      <c r="C13" s="150" t="s">
        <v>425</v>
      </c>
      <c r="D13" s="150" t="s">
        <v>299</v>
      </c>
      <c r="E13" s="150" t="s">
        <v>280</v>
      </c>
      <c r="F13" s="150" t="s">
        <v>426</v>
      </c>
      <c r="G13" s="150" t="s">
        <v>427</v>
      </c>
      <c r="H13" s="12">
        <v>65172</v>
      </c>
      <c r="I13" s="12">
        <v>65172</v>
      </c>
      <c r="J13" s="12"/>
      <c r="K13" s="12"/>
      <c r="L13" s="12">
        <v>65172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18.75" customHeight="1">
      <c r="A14" s="151"/>
      <c r="B14" s="150" t="s">
        <v>424</v>
      </c>
      <c r="C14" s="150" t="s">
        <v>425</v>
      </c>
      <c r="D14" s="150" t="s">
        <v>302</v>
      </c>
      <c r="E14" s="150" t="s">
        <v>280</v>
      </c>
      <c r="F14" s="150" t="s">
        <v>426</v>
      </c>
      <c r="G14" s="150" t="s">
        <v>427</v>
      </c>
      <c r="H14" s="12">
        <v>260064</v>
      </c>
      <c r="I14" s="12">
        <v>260064</v>
      </c>
      <c r="J14" s="12"/>
      <c r="K14" s="12"/>
      <c r="L14" s="12">
        <v>260064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ht="18.75" customHeight="1">
      <c r="A15" s="151"/>
      <c r="B15" s="150" t="s">
        <v>424</v>
      </c>
      <c r="C15" s="150" t="s">
        <v>425</v>
      </c>
      <c r="D15" s="150" t="s">
        <v>313</v>
      </c>
      <c r="E15" s="150" t="s">
        <v>280</v>
      </c>
      <c r="F15" s="150" t="s">
        <v>426</v>
      </c>
      <c r="G15" s="150" t="s">
        <v>427</v>
      </c>
      <c r="H15" s="12">
        <v>73692</v>
      </c>
      <c r="I15" s="12">
        <v>73692</v>
      </c>
      <c r="J15" s="12"/>
      <c r="K15" s="12"/>
      <c r="L15" s="12">
        <v>73692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ht="18.75" customHeight="1">
      <c r="A16" s="151"/>
      <c r="B16" s="150" t="s">
        <v>428</v>
      </c>
      <c r="C16" s="150" t="s">
        <v>429</v>
      </c>
      <c r="D16" s="150" t="s">
        <v>305</v>
      </c>
      <c r="E16" s="150" t="s">
        <v>306</v>
      </c>
      <c r="F16" s="150" t="s">
        <v>426</v>
      </c>
      <c r="G16" s="150" t="s">
        <v>427</v>
      </c>
      <c r="H16" s="12">
        <v>371304</v>
      </c>
      <c r="I16" s="12">
        <v>371304</v>
      </c>
      <c r="J16" s="12"/>
      <c r="K16" s="12"/>
      <c r="L16" s="12">
        <v>371304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ht="18.75" customHeight="1">
      <c r="A17" s="151"/>
      <c r="B17" s="150" t="s">
        <v>428</v>
      </c>
      <c r="C17" s="150" t="s">
        <v>429</v>
      </c>
      <c r="D17" s="150" t="s">
        <v>362</v>
      </c>
      <c r="E17" s="150" t="s">
        <v>363</v>
      </c>
      <c r="F17" s="150" t="s">
        <v>426</v>
      </c>
      <c r="G17" s="150" t="s">
        <v>427</v>
      </c>
      <c r="H17" s="12">
        <v>452280</v>
      </c>
      <c r="I17" s="12">
        <v>452280</v>
      </c>
      <c r="J17" s="12"/>
      <c r="K17" s="12"/>
      <c r="L17" s="12">
        <v>452280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ht="18.75" customHeight="1">
      <c r="A18" s="151"/>
      <c r="B18" s="150" t="s">
        <v>428</v>
      </c>
      <c r="C18" s="150" t="s">
        <v>429</v>
      </c>
      <c r="D18" s="150" t="s">
        <v>370</v>
      </c>
      <c r="E18" s="150" t="s">
        <v>306</v>
      </c>
      <c r="F18" s="150" t="s">
        <v>426</v>
      </c>
      <c r="G18" s="150" t="s">
        <v>427</v>
      </c>
      <c r="H18" s="12">
        <v>1013532</v>
      </c>
      <c r="I18" s="12">
        <v>1013532</v>
      </c>
      <c r="J18" s="12"/>
      <c r="K18" s="12"/>
      <c r="L18" s="12">
        <v>1013532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ht="18.75" customHeight="1">
      <c r="A19" s="151"/>
      <c r="B19" s="150" t="s">
        <v>424</v>
      </c>
      <c r="C19" s="150" t="s">
        <v>425</v>
      </c>
      <c r="D19" s="150" t="s">
        <v>279</v>
      </c>
      <c r="E19" s="150" t="s">
        <v>280</v>
      </c>
      <c r="F19" s="150" t="s">
        <v>430</v>
      </c>
      <c r="G19" s="150" t="s">
        <v>431</v>
      </c>
      <c r="H19" s="12">
        <v>12900</v>
      </c>
      <c r="I19" s="12">
        <v>12900</v>
      </c>
      <c r="J19" s="12"/>
      <c r="K19" s="12"/>
      <c r="L19" s="12">
        <v>12900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ht="18.75" customHeight="1">
      <c r="A20" s="151"/>
      <c r="B20" s="150" t="s">
        <v>424</v>
      </c>
      <c r="C20" s="150" t="s">
        <v>425</v>
      </c>
      <c r="D20" s="150" t="s">
        <v>285</v>
      </c>
      <c r="E20" s="150" t="s">
        <v>280</v>
      </c>
      <c r="F20" s="150" t="s">
        <v>430</v>
      </c>
      <c r="G20" s="150" t="s">
        <v>431</v>
      </c>
      <c r="H20" s="12">
        <v>148500</v>
      </c>
      <c r="I20" s="12">
        <v>148500</v>
      </c>
      <c r="J20" s="12"/>
      <c r="K20" s="12"/>
      <c r="L20" s="12">
        <v>148500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ht="18.75" customHeight="1">
      <c r="A21" s="151"/>
      <c r="B21" s="150" t="s">
        <v>424</v>
      </c>
      <c r="C21" s="150" t="s">
        <v>425</v>
      </c>
      <c r="D21" s="150" t="s">
        <v>299</v>
      </c>
      <c r="E21" s="150" t="s">
        <v>280</v>
      </c>
      <c r="F21" s="150" t="s">
        <v>430</v>
      </c>
      <c r="G21" s="150" t="s">
        <v>431</v>
      </c>
      <c r="H21" s="12">
        <v>21300</v>
      </c>
      <c r="I21" s="12">
        <v>21300</v>
      </c>
      <c r="J21" s="12"/>
      <c r="K21" s="12"/>
      <c r="L21" s="12">
        <v>21300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ht="18.75" customHeight="1">
      <c r="A22" s="151"/>
      <c r="B22" s="150" t="s">
        <v>424</v>
      </c>
      <c r="C22" s="150" t="s">
        <v>425</v>
      </c>
      <c r="D22" s="150" t="s">
        <v>302</v>
      </c>
      <c r="E22" s="150" t="s">
        <v>280</v>
      </c>
      <c r="F22" s="150" t="s">
        <v>430</v>
      </c>
      <c r="G22" s="150" t="s">
        <v>431</v>
      </c>
      <c r="H22" s="12">
        <v>75600</v>
      </c>
      <c r="I22" s="12">
        <v>75600</v>
      </c>
      <c r="J22" s="12"/>
      <c r="K22" s="12"/>
      <c r="L22" s="12">
        <v>75600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ht="18.75" customHeight="1">
      <c r="A23" s="151"/>
      <c r="B23" s="150" t="s">
        <v>424</v>
      </c>
      <c r="C23" s="150" t="s">
        <v>425</v>
      </c>
      <c r="D23" s="150" t="s">
        <v>313</v>
      </c>
      <c r="E23" s="150" t="s">
        <v>280</v>
      </c>
      <c r="F23" s="150" t="s">
        <v>430</v>
      </c>
      <c r="G23" s="150" t="s">
        <v>431</v>
      </c>
      <c r="H23" s="12">
        <v>20700</v>
      </c>
      <c r="I23" s="12">
        <v>20700</v>
      </c>
      <c r="J23" s="12"/>
      <c r="K23" s="12"/>
      <c r="L23" s="12">
        <v>20700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ht="18.75" customHeight="1">
      <c r="A24" s="151"/>
      <c r="B24" s="150" t="s">
        <v>432</v>
      </c>
      <c r="C24" s="150" t="s">
        <v>433</v>
      </c>
      <c r="D24" s="150" t="s">
        <v>279</v>
      </c>
      <c r="E24" s="150" t="s">
        <v>280</v>
      </c>
      <c r="F24" s="150" t="s">
        <v>430</v>
      </c>
      <c r="G24" s="150" t="s">
        <v>431</v>
      </c>
      <c r="H24" s="12">
        <v>6000</v>
      </c>
      <c r="I24" s="12">
        <v>6000</v>
      </c>
      <c r="J24" s="12"/>
      <c r="K24" s="12"/>
      <c r="L24" s="12">
        <v>6000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ht="18.75" customHeight="1">
      <c r="A25" s="151"/>
      <c r="B25" s="150" t="s">
        <v>432</v>
      </c>
      <c r="C25" s="150" t="s">
        <v>433</v>
      </c>
      <c r="D25" s="150" t="s">
        <v>285</v>
      </c>
      <c r="E25" s="150" t="s">
        <v>280</v>
      </c>
      <c r="F25" s="150" t="s">
        <v>430</v>
      </c>
      <c r="G25" s="150" t="s">
        <v>431</v>
      </c>
      <c r="H25" s="12">
        <v>78000</v>
      </c>
      <c r="I25" s="12">
        <v>78000</v>
      </c>
      <c r="J25" s="12"/>
      <c r="K25" s="12"/>
      <c r="L25" s="12">
        <v>78000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ht="18.75" customHeight="1">
      <c r="A26" s="151"/>
      <c r="B26" s="150" t="s">
        <v>432</v>
      </c>
      <c r="C26" s="150" t="s">
        <v>433</v>
      </c>
      <c r="D26" s="150" t="s">
        <v>299</v>
      </c>
      <c r="E26" s="150" t="s">
        <v>280</v>
      </c>
      <c r="F26" s="150" t="s">
        <v>430</v>
      </c>
      <c r="G26" s="150" t="s">
        <v>431</v>
      </c>
      <c r="H26" s="12">
        <v>12000</v>
      </c>
      <c r="I26" s="12">
        <v>12000</v>
      </c>
      <c r="J26" s="12"/>
      <c r="K26" s="12"/>
      <c r="L26" s="12">
        <v>12000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ht="18.75" customHeight="1">
      <c r="A27" s="151"/>
      <c r="B27" s="150" t="s">
        <v>432</v>
      </c>
      <c r="C27" s="150" t="s">
        <v>433</v>
      </c>
      <c r="D27" s="150" t="s">
        <v>302</v>
      </c>
      <c r="E27" s="150" t="s">
        <v>280</v>
      </c>
      <c r="F27" s="150" t="s">
        <v>430</v>
      </c>
      <c r="G27" s="150" t="s">
        <v>431</v>
      </c>
      <c r="H27" s="12">
        <v>42000</v>
      </c>
      <c r="I27" s="12">
        <v>42000</v>
      </c>
      <c r="J27" s="12"/>
      <c r="K27" s="12"/>
      <c r="L27" s="12">
        <v>42000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ht="18.75" customHeight="1">
      <c r="A28" s="151"/>
      <c r="B28" s="150" t="s">
        <v>432</v>
      </c>
      <c r="C28" s="150" t="s">
        <v>433</v>
      </c>
      <c r="D28" s="150" t="s">
        <v>313</v>
      </c>
      <c r="E28" s="150" t="s">
        <v>280</v>
      </c>
      <c r="F28" s="150" t="s">
        <v>430</v>
      </c>
      <c r="G28" s="150" t="s">
        <v>431</v>
      </c>
      <c r="H28" s="12">
        <v>12000</v>
      </c>
      <c r="I28" s="12">
        <v>12000</v>
      </c>
      <c r="J28" s="12"/>
      <c r="K28" s="12"/>
      <c r="L28" s="12">
        <v>12000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ht="18.75" customHeight="1">
      <c r="A29" s="151"/>
      <c r="B29" s="150" t="s">
        <v>424</v>
      </c>
      <c r="C29" s="150" t="s">
        <v>425</v>
      </c>
      <c r="D29" s="150" t="s">
        <v>279</v>
      </c>
      <c r="E29" s="150" t="s">
        <v>280</v>
      </c>
      <c r="F29" s="150" t="s">
        <v>430</v>
      </c>
      <c r="G29" s="150" t="s">
        <v>431</v>
      </c>
      <c r="H29" s="12">
        <v>50160</v>
      </c>
      <c r="I29" s="12">
        <v>50160</v>
      </c>
      <c r="J29" s="12"/>
      <c r="K29" s="12"/>
      <c r="L29" s="12">
        <v>50160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ht="18.75" customHeight="1">
      <c r="A30" s="151"/>
      <c r="B30" s="150" t="s">
        <v>424</v>
      </c>
      <c r="C30" s="150" t="s">
        <v>425</v>
      </c>
      <c r="D30" s="150" t="s">
        <v>285</v>
      </c>
      <c r="E30" s="150" t="s">
        <v>280</v>
      </c>
      <c r="F30" s="150" t="s">
        <v>430</v>
      </c>
      <c r="G30" s="150" t="s">
        <v>431</v>
      </c>
      <c r="H30" s="12">
        <v>619056</v>
      </c>
      <c r="I30" s="12">
        <v>619056</v>
      </c>
      <c r="J30" s="12"/>
      <c r="K30" s="12"/>
      <c r="L30" s="12">
        <v>619056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ht="18.75" customHeight="1">
      <c r="A31" s="151"/>
      <c r="B31" s="150" t="s">
        <v>424</v>
      </c>
      <c r="C31" s="150" t="s">
        <v>425</v>
      </c>
      <c r="D31" s="150" t="s">
        <v>299</v>
      </c>
      <c r="E31" s="150" t="s">
        <v>280</v>
      </c>
      <c r="F31" s="150" t="s">
        <v>430</v>
      </c>
      <c r="G31" s="150" t="s">
        <v>431</v>
      </c>
      <c r="H31" s="12">
        <v>91812</v>
      </c>
      <c r="I31" s="12">
        <v>91812</v>
      </c>
      <c r="J31" s="12"/>
      <c r="K31" s="12"/>
      <c r="L31" s="12">
        <v>91812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ht="18.75" customHeight="1">
      <c r="A32" s="151"/>
      <c r="B32" s="150" t="s">
        <v>424</v>
      </c>
      <c r="C32" s="150" t="s">
        <v>425</v>
      </c>
      <c r="D32" s="150" t="s">
        <v>302</v>
      </c>
      <c r="E32" s="150" t="s">
        <v>280</v>
      </c>
      <c r="F32" s="150" t="s">
        <v>430</v>
      </c>
      <c r="G32" s="150" t="s">
        <v>431</v>
      </c>
      <c r="H32" s="12">
        <v>329568</v>
      </c>
      <c r="I32" s="12">
        <v>329568</v>
      </c>
      <c r="J32" s="12"/>
      <c r="K32" s="12"/>
      <c r="L32" s="12">
        <v>329568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ht="18.75" customHeight="1">
      <c r="A33" s="151"/>
      <c r="B33" s="150" t="s">
        <v>424</v>
      </c>
      <c r="C33" s="150" t="s">
        <v>425</v>
      </c>
      <c r="D33" s="150" t="s">
        <v>313</v>
      </c>
      <c r="E33" s="150" t="s">
        <v>280</v>
      </c>
      <c r="F33" s="150" t="s">
        <v>430</v>
      </c>
      <c r="G33" s="150" t="s">
        <v>431</v>
      </c>
      <c r="H33" s="12">
        <v>93804</v>
      </c>
      <c r="I33" s="12">
        <v>93804</v>
      </c>
      <c r="J33" s="12"/>
      <c r="K33" s="12"/>
      <c r="L33" s="12">
        <v>93804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ht="18.75" customHeight="1">
      <c r="A34" s="151"/>
      <c r="B34" s="150" t="s">
        <v>428</v>
      </c>
      <c r="C34" s="150" t="s">
        <v>429</v>
      </c>
      <c r="D34" s="150" t="s">
        <v>305</v>
      </c>
      <c r="E34" s="150" t="s">
        <v>306</v>
      </c>
      <c r="F34" s="150" t="s">
        <v>430</v>
      </c>
      <c r="G34" s="150" t="s">
        <v>431</v>
      </c>
      <c r="H34" s="12">
        <v>85080</v>
      </c>
      <c r="I34" s="12">
        <v>85080</v>
      </c>
      <c r="J34" s="12"/>
      <c r="K34" s="12"/>
      <c r="L34" s="12">
        <v>85080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ht="18.75" customHeight="1">
      <c r="A35" s="151"/>
      <c r="B35" s="150" t="s">
        <v>428</v>
      </c>
      <c r="C35" s="150" t="s">
        <v>429</v>
      </c>
      <c r="D35" s="150" t="s">
        <v>362</v>
      </c>
      <c r="E35" s="150" t="s">
        <v>363</v>
      </c>
      <c r="F35" s="150" t="s">
        <v>430</v>
      </c>
      <c r="G35" s="150" t="s">
        <v>431</v>
      </c>
      <c r="H35" s="12">
        <v>87936</v>
      </c>
      <c r="I35" s="12">
        <v>87936</v>
      </c>
      <c r="J35" s="12"/>
      <c r="K35" s="12"/>
      <c r="L35" s="12">
        <v>87936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ht="18.75" customHeight="1">
      <c r="A36" s="151"/>
      <c r="B36" s="150" t="s">
        <v>428</v>
      </c>
      <c r="C36" s="150" t="s">
        <v>429</v>
      </c>
      <c r="D36" s="150" t="s">
        <v>370</v>
      </c>
      <c r="E36" s="150" t="s">
        <v>306</v>
      </c>
      <c r="F36" s="150" t="s">
        <v>430</v>
      </c>
      <c r="G36" s="150" t="s">
        <v>431</v>
      </c>
      <c r="H36" s="12">
        <v>277560</v>
      </c>
      <c r="I36" s="12">
        <v>277560</v>
      </c>
      <c r="J36" s="12"/>
      <c r="K36" s="12"/>
      <c r="L36" s="12">
        <v>277560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ht="18.75" customHeight="1">
      <c r="A37" s="151"/>
      <c r="B37" s="150" t="s">
        <v>434</v>
      </c>
      <c r="C37" s="150" t="s">
        <v>435</v>
      </c>
      <c r="D37" s="150" t="s">
        <v>305</v>
      </c>
      <c r="E37" s="150" t="s">
        <v>306</v>
      </c>
      <c r="F37" s="150" t="s">
        <v>430</v>
      </c>
      <c r="G37" s="150" t="s">
        <v>431</v>
      </c>
      <c r="H37" s="12">
        <v>60000</v>
      </c>
      <c r="I37" s="12">
        <v>60000</v>
      </c>
      <c r="J37" s="12"/>
      <c r="K37" s="12"/>
      <c r="L37" s="12">
        <v>60000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ht="18.75" customHeight="1">
      <c r="A38" s="151"/>
      <c r="B38" s="150" t="s">
        <v>434</v>
      </c>
      <c r="C38" s="150" t="s">
        <v>435</v>
      </c>
      <c r="D38" s="150" t="s">
        <v>362</v>
      </c>
      <c r="E38" s="150" t="s">
        <v>363</v>
      </c>
      <c r="F38" s="150" t="s">
        <v>430</v>
      </c>
      <c r="G38" s="150" t="s">
        <v>431</v>
      </c>
      <c r="H38" s="12">
        <v>60000</v>
      </c>
      <c r="I38" s="12">
        <v>60000</v>
      </c>
      <c r="J38" s="12"/>
      <c r="K38" s="12"/>
      <c r="L38" s="12">
        <v>60000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ht="18.75" customHeight="1">
      <c r="A39" s="151"/>
      <c r="B39" s="150" t="s">
        <v>434</v>
      </c>
      <c r="C39" s="150" t="s">
        <v>435</v>
      </c>
      <c r="D39" s="150" t="s">
        <v>370</v>
      </c>
      <c r="E39" s="150" t="s">
        <v>306</v>
      </c>
      <c r="F39" s="150" t="s">
        <v>430</v>
      </c>
      <c r="G39" s="150" t="s">
        <v>431</v>
      </c>
      <c r="H39" s="12">
        <v>138000</v>
      </c>
      <c r="I39" s="12">
        <v>138000</v>
      </c>
      <c r="J39" s="12"/>
      <c r="K39" s="12"/>
      <c r="L39" s="12">
        <v>138000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ht="18.75" customHeight="1">
      <c r="A40" s="151"/>
      <c r="B40" s="150" t="s">
        <v>424</v>
      </c>
      <c r="C40" s="150" t="s">
        <v>425</v>
      </c>
      <c r="D40" s="150" t="s">
        <v>279</v>
      </c>
      <c r="E40" s="150" t="s">
        <v>280</v>
      </c>
      <c r="F40" s="150" t="s">
        <v>436</v>
      </c>
      <c r="G40" s="150" t="s">
        <v>437</v>
      </c>
      <c r="H40" s="12">
        <v>3977</v>
      </c>
      <c r="I40" s="12">
        <v>3977</v>
      </c>
      <c r="J40" s="12"/>
      <c r="K40" s="12"/>
      <c r="L40" s="12">
        <v>3977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ht="18.75" customHeight="1">
      <c r="A41" s="151"/>
      <c r="B41" s="150" t="s">
        <v>424</v>
      </c>
      <c r="C41" s="150" t="s">
        <v>425</v>
      </c>
      <c r="D41" s="150" t="s">
        <v>285</v>
      </c>
      <c r="E41" s="150" t="s">
        <v>280</v>
      </c>
      <c r="F41" s="150" t="s">
        <v>436</v>
      </c>
      <c r="G41" s="150" t="s">
        <v>437</v>
      </c>
      <c r="H41" s="12">
        <v>41442</v>
      </c>
      <c r="I41" s="12">
        <v>41442</v>
      </c>
      <c r="J41" s="12"/>
      <c r="K41" s="12"/>
      <c r="L41" s="12">
        <v>41442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ht="18.75" customHeight="1">
      <c r="A42" s="151"/>
      <c r="B42" s="150" t="s">
        <v>424</v>
      </c>
      <c r="C42" s="150" t="s">
        <v>425</v>
      </c>
      <c r="D42" s="150" t="s">
        <v>299</v>
      </c>
      <c r="E42" s="150" t="s">
        <v>280</v>
      </c>
      <c r="F42" s="150" t="s">
        <v>436</v>
      </c>
      <c r="G42" s="150" t="s">
        <v>437</v>
      </c>
      <c r="H42" s="12">
        <v>5431</v>
      </c>
      <c r="I42" s="12">
        <v>5431</v>
      </c>
      <c r="J42" s="12"/>
      <c r="K42" s="12"/>
      <c r="L42" s="12">
        <v>5431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ht="18.75" customHeight="1">
      <c r="A43" s="151"/>
      <c r="B43" s="150" t="s">
        <v>424</v>
      </c>
      <c r="C43" s="150" t="s">
        <v>425</v>
      </c>
      <c r="D43" s="150" t="s">
        <v>302</v>
      </c>
      <c r="E43" s="150" t="s">
        <v>280</v>
      </c>
      <c r="F43" s="150" t="s">
        <v>436</v>
      </c>
      <c r="G43" s="150" t="s">
        <v>437</v>
      </c>
      <c r="H43" s="12">
        <v>21672</v>
      </c>
      <c r="I43" s="12">
        <v>21672</v>
      </c>
      <c r="J43" s="12"/>
      <c r="K43" s="12"/>
      <c r="L43" s="12">
        <v>21672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ht="18.75" customHeight="1">
      <c r="A44" s="151"/>
      <c r="B44" s="150" t="s">
        <v>424</v>
      </c>
      <c r="C44" s="150" t="s">
        <v>425</v>
      </c>
      <c r="D44" s="150" t="s">
        <v>313</v>
      </c>
      <c r="E44" s="150" t="s">
        <v>280</v>
      </c>
      <c r="F44" s="150" t="s">
        <v>436</v>
      </c>
      <c r="G44" s="150" t="s">
        <v>437</v>
      </c>
      <c r="H44" s="12">
        <v>6141</v>
      </c>
      <c r="I44" s="12">
        <v>6141</v>
      </c>
      <c r="J44" s="12"/>
      <c r="K44" s="12"/>
      <c r="L44" s="12">
        <v>6141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ht="18.75" customHeight="1">
      <c r="A45" s="151"/>
      <c r="B45" s="150" t="s">
        <v>438</v>
      </c>
      <c r="C45" s="150" t="s">
        <v>439</v>
      </c>
      <c r="D45" s="150" t="s">
        <v>279</v>
      </c>
      <c r="E45" s="150" t="s">
        <v>280</v>
      </c>
      <c r="F45" s="150" t="s">
        <v>436</v>
      </c>
      <c r="G45" s="150" t="s">
        <v>437</v>
      </c>
      <c r="H45" s="12">
        <v>21600</v>
      </c>
      <c r="I45" s="12">
        <v>21600</v>
      </c>
      <c r="J45" s="12"/>
      <c r="K45" s="12"/>
      <c r="L45" s="12">
        <v>21600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ht="18.75" customHeight="1">
      <c r="A46" s="151"/>
      <c r="B46" s="150" t="s">
        <v>438</v>
      </c>
      <c r="C46" s="150" t="s">
        <v>439</v>
      </c>
      <c r="D46" s="150" t="s">
        <v>285</v>
      </c>
      <c r="E46" s="150" t="s">
        <v>280</v>
      </c>
      <c r="F46" s="150" t="s">
        <v>436</v>
      </c>
      <c r="G46" s="150" t="s">
        <v>437</v>
      </c>
      <c r="H46" s="12">
        <v>213060</v>
      </c>
      <c r="I46" s="12">
        <v>213060</v>
      </c>
      <c r="J46" s="12"/>
      <c r="K46" s="12"/>
      <c r="L46" s="12">
        <v>213060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ht="18.75" customHeight="1">
      <c r="A47" s="151"/>
      <c r="B47" s="150" t="s">
        <v>438</v>
      </c>
      <c r="C47" s="150" t="s">
        <v>439</v>
      </c>
      <c r="D47" s="150" t="s">
        <v>299</v>
      </c>
      <c r="E47" s="150" t="s">
        <v>280</v>
      </c>
      <c r="F47" s="150" t="s">
        <v>436</v>
      </c>
      <c r="G47" s="150" t="s">
        <v>437</v>
      </c>
      <c r="H47" s="12">
        <v>35040</v>
      </c>
      <c r="I47" s="12">
        <v>35040</v>
      </c>
      <c r="J47" s="12"/>
      <c r="K47" s="12"/>
      <c r="L47" s="12">
        <v>35040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ht="18.75" customHeight="1">
      <c r="A48" s="151"/>
      <c r="B48" s="150" t="s">
        <v>438</v>
      </c>
      <c r="C48" s="150" t="s">
        <v>439</v>
      </c>
      <c r="D48" s="150" t="s">
        <v>302</v>
      </c>
      <c r="E48" s="150" t="s">
        <v>280</v>
      </c>
      <c r="F48" s="150" t="s">
        <v>436</v>
      </c>
      <c r="G48" s="150" t="s">
        <v>437</v>
      </c>
      <c r="H48" s="12">
        <v>92100</v>
      </c>
      <c r="I48" s="12">
        <v>92100</v>
      </c>
      <c r="J48" s="12"/>
      <c r="K48" s="12"/>
      <c r="L48" s="12">
        <v>92100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ht="18.75" customHeight="1">
      <c r="A49" s="151"/>
      <c r="B49" s="150" t="s">
        <v>438</v>
      </c>
      <c r="C49" s="150" t="s">
        <v>439</v>
      </c>
      <c r="D49" s="150" t="s">
        <v>313</v>
      </c>
      <c r="E49" s="150" t="s">
        <v>280</v>
      </c>
      <c r="F49" s="150" t="s">
        <v>436</v>
      </c>
      <c r="G49" s="150" t="s">
        <v>437</v>
      </c>
      <c r="H49" s="12">
        <v>33660</v>
      </c>
      <c r="I49" s="12">
        <v>33660</v>
      </c>
      <c r="J49" s="12"/>
      <c r="K49" s="12"/>
      <c r="L49" s="12">
        <v>33660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ht="18.75" customHeight="1">
      <c r="A50" s="151"/>
      <c r="B50" s="150" t="s">
        <v>440</v>
      </c>
      <c r="C50" s="150" t="s">
        <v>441</v>
      </c>
      <c r="D50" s="150" t="s">
        <v>305</v>
      </c>
      <c r="E50" s="150" t="s">
        <v>306</v>
      </c>
      <c r="F50" s="150" t="s">
        <v>442</v>
      </c>
      <c r="G50" s="150" t="s">
        <v>443</v>
      </c>
      <c r="H50" s="12">
        <v>277380</v>
      </c>
      <c r="I50" s="12">
        <v>277380</v>
      </c>
      <c r="J50" s="12"/>
      <c r="K50" s="12"/>
      <c r="L50" s="12">
        <v>277380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ht="18.75" customHeight="1">
      <c r="A51" s="151"/>
      <c r="B51" s="150" t="s">
        <v>440</v>
      </c>
      <c r="C51" s="150" t="s">
        <v>441</v>
      </c>
      <c r="D51" s="150" t="s">
        <v>362</v>
      </c>
      <c r="E51" s="150" t="s">
        <v>363</v>
      </c>
      <c r="F51" s="150" t="s">
        <v>442</v>
      </c>
      <c r="G51" s="150" t="s">
        <v>443</v>
      </c>
      <c r="H51" s="12">
        <v>281112</v>
      </c>
      <c r="I51" s="12">
        <v>281112</v>
      </c>
      <c r="J51" s="12"/>
      <c r="K51" s="12"/>
      <c r="L51" s="12">
        <v>281112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ht="18.75" customHeight="1">
      <c r="A52" s="151"/>
      <c r="B52" s="150" t="s">
        <v>440</v>
      </c>
      <c r="C52" s="150" t="s">
        <v>441</v>
      </c>
      <c r="D52" s="150" t="s">
        <v>370</v>
      </c>
      <c r="E52" s="150" t="s">
        <v>306</v>
      </c>
      <c r="F52" s="150" t="s">
        <v>442</v>
      </c>
      <c r="G52" s="150" t="s">
        <v>443</v>
      </c>
      <c r="H52" s="12">
        <v>649920</v>
      </c>
      <c r="I52" s="12">
        <v>649920</v>
      </c>
      <c r="J52" s="12"/>
      <c r="K52" s="12"/>
      <c r="L52" s="12">
        <v>649920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ht="18.75" customHeight="1">
      <c r="A53" s="151"/>
      <c r="B53" s="150" t="s">
        <v>444</v>
      </c>
      <c r="C53" s="150" t="s">
        <v>445</v>
      </c>
      <c r="D53" s="150" t="s">
        <v>305</v>
      </c>
      <c r="E53" s="150" t="s">
        <v>306</v>
      </c>
      <c r="F53" s="150" t="s">
        <v>442</v>
      </c>
      <c r="G53" s="150" t="s">
        <v>443</v>
      </c>
      <c r="H53" s="12">
        <v>180000</v>
      </c>
      <c r="I53" s="12">
        <v>180000</v>
      </c>
      <c r="J53" s="12"/>
      <c r="K53" s="12"/>
      <c r="L53" s="12">
        <v>180000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ht="18.75" customHeight="1">
      <c r="A54" s="151"/>
      <c r="B54" s="150" t="s">
        <v>444</v>
      </c>
      <c r="C54" s="150" t="s">
        <v>445</v>
      </c>
      <c r="D54" s="150" t="s">
        <v>362</v>
      </c>
      <c r="E54" s="150" t="s">
        <v>363</v>
      </c>
      <c r="F54" s="150" t="s">
        <v>442</v>
      </c>
      <c r="G54" s="150" t="s">
        <v>443</v>
      </c>
      <c r="H54" s="12">
        <v>180000</v>
      </c>
      <c r="I54" s="12">
        <v>180000</v>
      </c>
      <c r="J54" s="12"/>
      <c r="K54" s="12"/>
      <c r="L54" s="12">
        <v>180000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ht="18.75" customHeight="1">
      <c r="A55" s="151"/>
      <c r="B55" s="150" t="s">
        <v>444</v>
      </c>
      <c r="C55" s="150" t="s">
        <v>445</v>
      </c>
      <c r="D55" s="150" t="s">
        <v>370</v>
      </c>
      <c r="E55" s="150" t="s">
        <v>306</v>
      </c>
      <c r="F55" s="150" t="s">
        <v>442</v>
      </c>
      <c r="G55" s="150" t="s">
        <v>443</v>
      </c>
      <c r="H55" s="12">
        <v>414000</v>
      </c>
      <c r="I55" s="12">
        <v>414000</v>
      </c>
      <c r="J55" s="12"/>
      <c r="K55" s="12"/>
      <c r="L55" s="12">
        <v>414000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ht="18.75" customHeight="1">
      <c r="A56" s="151"/>
      <c r="B56" s="150" t="s">
        <v>446</v>
      </c>
      <c r="C56" s="150" t="s">
        <v>447</v>
      </c>
      <c r="D56" s="150" t="s">
        <v>305</v>
      </c>
      <c r="E56" s="150" t="s">
        <v>306</v>
      </c>
      <c r="F56" s="150" t="s">
        <v>442</v>
      </c>
      <c r="G56" s="150" t="s">
        <v>443</v>
      </c>
      <c r="H56" s="12">
        <v>129600</v>
      </c>
      <c r="I56" s="12">
        <v>129600</v>
      </c>
      <c r="J56" s="12"/>
      <c r="K56" s="12"/>
      <c r="L56" s="12">
        <v>129600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ht="18.75" customHeight="1">
      <c r="A57" s="151"/>
      <c r="B57" s="150" t="s">
        <v>446</v>
      </c>
      <c r="C57" s="150" t="s">
        <v>447</v>
      </c>
      <c r="D57" s="150" t="s">
        <v>362</v>
      </c>
      <c r="E57" s="150" t="s">
        <v>363</v>
      </c>
      <c r="F57" s="150" t="s">
        <v>442</v>
      </c>
      <c r="G57" s="150" t="s">
        <v>443</v>
      </c>
      <c r="H57" s="12">
        <v>134460</v>
      </c>
      <c r="I57" s="12">
        <v>134460</v>
      </c>
      <c r="J57" s="12"/>
      <c r="K57" s="12"/>
      <c r="L57" s="12">
        <v>134460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ht="18.75" customHeight="1">
      <c r="A58" s="151"/>
      <c r="B58" s="150" t="s">
        <v>446</v>
      </c>
      <c r="C58" s="150" t="s">
        <v>447</v>
      </c>
      <c r="D58" s="150" t="s">
        <v>370</v>
      </c>
      <c r="E58" s="150" t="s">
        <v>306</v>
      </c>
      <c r="F58" s="150" t="s">
        <v>442</v>
      </c>
      <c r="G58" s="150" t="s">
        <v>443</v>
      </c>
      <c r="H58" s="12">
        <v>309060</v>
      </c>
      <c r="I58" s="12">
        <v>309060</v>
      </c>
      <c r="J58" s="12"/>
      <c r="K58" s="12"/>
      <c r="L58" s="12">
        <v>309060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ht="18.75" customHeight="1">
      <c r="A59" s="151"/>
      <c r="B59" s="150" t="s">
        <v>448</v>
      </c>
      <c r="C59" s="150" t="s">
        <v>449</v>
      </c>
      <c r="D59" s="150" t="s">
        <v>330</v>
      </c>
      <c r="E59" s="150" t="s">
        <v>331</v>
      </c>
      <c r="F59" s="150" t="s">
        <v>450</v>
      </c>
      <c r="G59" s="150" t="s">
        <v>451</v>
      </c>
      <c r="H59" s="12">
        <v>1041926.4</v>
      </c>
      <c r="I59" s="12">
        <v>1041926.4</v>
      </c>
      <c r="J59" s="12"/>
      <c r="K59" s="12"/>
      <c r="L59" s="12">
        <v>1041926.4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ht="18.75" customHeight="1">
      <c r="A60" s="151"/>
      <c r="B60" s="150" t="s">
        <v>448</v>
      </c>
      <c r="C60" s="150" t="s">
        <v>449</v>
      </c>
      <c r="D60" s="150" t="s">
        <v>452</v>
      </c>
      <c r="E60" s="150" t="s">
        <v>453</v>
      </c>
      <c r="F60" s="150" t="s">
        <v>454</v>
      </c>
      <c r="G60" s="150" t="s">
        <v>455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ht="18.75" customHeight="1">
      <c r="A61" s="151"/>
      <c r="B61" s="150" t="s">
        <v>448</v>
      </c>
      <c r="C61" s="150" t="s">
        <v>449</v>
      </c>
      <c r="D61" s="150" t="s">
        <v>350</v>
      </c>
      <c r="E61" s="150" t="s">
        <v>351</v>
      </c>
      <c r="F61" s="150" t="s">
        <v>456</v>
      </c>
      <c r="G61" s="150" t="s">
        <v>457</v>
      </c>
      <c r="H61" s="12">
        <v>179190.94</v>
      </c>
      <c r="I61" s="12">
        <v>179190.94</v>
      </c>
      <c r="J61" s="12"/>
      <c r="K61" s="12"/>
      <c r="L61" s="12">
        <v>179190.94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ht="18.75" customHeight="1">
      <c r="A62" s="151"/>
      <c r="B62" s="150" t="s">
        <v>448</v>
      </c>
      <c r="C62" s="150" t="s">
        <v>449</v>
      </c>
      <c r="D62" s="150" t="s">
        <v>352</v>
      </c>
      <c r="E62" s="150" t="s">
        <v>353</v>
      </c>
      <c r="F62" s="150" t="s">
        <v>456</v>
      </c>
      <c r="G62" s="150" t="s">
        <v>457</v>
      </c>
      <c r="H62" s="12">
        <v>283163.9</v>
      </c>
      <c r="I62" s="12">
        <v>283163.9</v>
      </c>
      <c r="J62" s="12"/>
      <c r="K62" s="12"/>
      <c r="L62" s="12">
        <v>283163.9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ht="18.75" customHeight="1">
      <c r="A63" s="151"/>
      <c r="B63" s="150" t="s">
        <v>448</v>
      </c>
      <c r="C63" s="150" t="s">
        <v>449</v>
      </c>
      <c r="D63" s="150" t="s">
        <v>458</v>
      </c>
      <c r="E63" s="150" t="s">
        <v>459</v>
      </c>
      <c r="F63" s="150" t="s">
        <v>460</v>
      </c>
      <c r="G63" s="150" t="s">
        <v>461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ht="18.75" customHeight="1">
      <c r="A64" s="151"/>
      <c r="B64" s="150" t="s">
        <v>448</v>
      </c>
      <c r="C64" s="150" t="s">
        <v>449</v>
      </c>
      <c r="D64" s="150" t="s">
        <v>285</v>
      </c>
      <c r="E64" s="150" t="s">
        <v>280</v>
      </c>
      <c r="F64" s="150" t="s">
        <v>462</v>
      </c>
      <c r="G64" s="150" t="s">
        <v>463</v>
      </c>
      <c r="H64" s="12">
        <v>579.94</v>
      </c>
      <c r="I64" s="12">
        <v>579.94</v>
      </c>
      <c r="J64" s="12"/>
      <c r="K64" s="12"/>
      <c r="L64" s="12">
        <v>579.94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ht="18.75" customHeight="1">
      <c r="A65" s="151"/>
      <c r="B65" s="150" t="s">
        <v>448</v>
      </c>
      <c r="C65" s="150" t="s">
        <v>449</v>
      </c>
      <c r="D65" s="150" t="s">
        <v>305</v>
      </c>
      <c r="E65" s="150" t="s">
        <v>306</v>
      </c>
      <c r="F65" s="150" t="s">
        <v>462</v>
      </c>
      <c r="G65" s="150" t="s">
        <v>463</v>
      </c>
      <c r="H65" s="12">
        <v>6005.75</v>
      </c>
      <c r="I65" s="12">
        <v>6005.75</v>
      </c>
      <c r="J65" s="12"/>
      <c r="K65" s="12"/>
      <c r="L65" s="12">
        <v>6005.75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ht="18.75" customHeight="1">
      <c r="A66" s="151"/>
      <c r="B66" s="150" t="s">
        <v>448</v>
      </c>
      <c r="C66" s="150" t="s">
        <v>449</v>
      </c>
      <c r="D66" s="150" t="s">
        <v>362</v>
      </c>
      <c r="E66" s="150" t="s">
        <v>363</v>
      </c>
      <c r="F66" s="150" t="s">
        <v>462</v>
      </c>
      <c r="G66" s="150" t="s">
        <v>463</v>
      </c>
      <c r="H66" s="12">
        <v>6690.52</v>
      </c>
      <c r="I66" s="12">
        <v>6690.52</v>
      </c>
      <c r="J66" s="12"/>
      <c r="K66" s="12"/>
      <c r="L66" s="12">
        <v>6690.52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ht="18.75" customHeight="1">
      <c r="A67" s="151"/>
      <c r="B67" s="150" t="s">
        <v>448</v>
      </c>
      <c r="C67" s="150" t="s">
        <v>449</v>
      </c>
      <c r="D67" s="150" t="s">
        <v>370</v>
      </c>
      <c r="E67" s="150" t="s">
        <v>306</v>
      </c>
      <c r="F67" s="150" t="s">
        <v>462</v>
      </c>
      <c r="G67" s="150" t="s">
        <v>463</v>
      </c>
      <c r="H67" s="12">
        <v>15221.3</v>
      </c>
      <c r="I67" s="12">
        <v>15221.3</v>
      </c>
      <c r="J67" s="12"/>
      <c r="K67" s="12"/>
      <c r="L67" s="12">
        <v>15221.3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ht="18.75" customHeight="1">
      <c r="A68" s="151"/>
      <c r="B68" s="150" t="s">
        <v>448</v>
      </c>
      <c r="C68" s="150" t="s">
        <v>449</v>
      </c>
      <c r="D68" s="150" t="s">
        <v>354</v>
      </c>
      <c r="E68" s="150" t="s">
        <v>355</v>
      </c>
      <c r="F68" s="150" t="s">
        <v>462</v>
      </c>
      <c r="G68" s="150" t="s">
        <v>463</v>
      </c>
      <c r="H68" s="12">
        <v>22800</v>
      </c>
      <c r="I68" s="12">
        <v>22800</v>
      </c>
      <c r="J68" s="12"/>
      <c r="K68" s="12"/>
      <c r="L68" s="12">
        <v>22800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ht="18.75" customHeight="1">
      <c r="A69" s="151"/>
      <c r="B69" s="150" t="s">
        <v>448</v>
      </c>
      <c r="C69" s="150" t="s">
        <v>449</v>
      </c>
      <c r="D69" s="150" t="s">
        <v>354</v>
      </c>
      <c r="E69" s="150" t="s">
        <v>355</v>
      </c>
      <c r="F69" s="150" t="s">
        <v>462</v>
      </c>
      <c r="G69" s="150" t="s">
        <v>463</v>
      </c>
      <c r="H69" s="12">
        <v>13024.08</v>
      </c>
      <c r="I69" s="12">
        <v>13024.08</v>
      </c>
      <c r="J69" s="12"/>
      <c r="K69" s="12"/>
      <c r="L69" s="12">
        <v>13024.08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ht="18.75" customHeight="1">
      <c r="A70" s="151"/>
      <c r="B70" s="150" t="s">
        <v>464</v>
      </c>
      <c r="C70" s="150" t="s">
        <v>384</v>
      </c>
      <c r="D70" s="150" t="s">
        <v>383</v>
      </c>
      <c r="E70" s="150" t="s">
        <v>384</v>
      </c>
      <c r="F70" s="150" t="s">
        <v>465</v>
      </c>
      <c r="G70" s="150" t="s">
        <v>384</v>
      </c>
      <c r="H70" s="12">
        <v>781444.8</v>
      </c>
      <c r="I70" s="12">
        <v>781444.8</v>
      </c>
      <c r="J70" s="12"/>
      <c r="K70" s="12"/>
      <c r="L70" s="12">
        <v>781444.8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ht="18.75" customHeight="1">
      <c r="A71" s="151"/>
      <c r="B71" s="150" t="s">
        <v>466</v>
      </c>
      <c r="C71" s="150" t="s">
        <v>467</v>
      </c>
      <c r="D71" s="150" t="s">
        <v>285</v>
      </c>
      <c r="E71" s="150" t="s">
        <v>280</v>
      </c>
      <c r="F71" s="150" t="s">
        <v>468</v>
      </c>
      <c r="G71" s="150" t="s">
        <v>469</v>
      </c>
      <c r="H71" s="12">
        <v>100000</v>
      </c>
      <c r="I71" s="12">
        <v>100000</v>
      </c>
      <c r="J71" s="12"/>
      <c r="K71" s="12"/>
      <c r="L71" s="12">
        <v>100000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ht="18.75" customHeight="1">
      <c r="A72" s="151"/>
      <c r="B72" s="150" t="s">
        <v>470</v>
      </c>
      <c r="C72" s="150" t="s">
        <v>471</v>
      </c>
      <c r="D72" s="150" t="s">
        <v>285</v>
      </c>
      <c r="E72" s="150" t="s">
        <v>280</v>
      </c>
      <c r="F72" s="150" t="s">
        <v>468</v>
      </c>
      <c r="G72" s="150" t="s">
        <v>469</v>
      </c>
      <c r="H72" s="12">
        <v>92000</v>
      </c>
      <c r="I72" s="12">
        <v>92000</v>
      </c>
      <c r="J72" s="12"/>
      <c r="K72" s="12"/>
      <c r="L72" s="12">
        <v>92000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ht="18.75" customHeight="1">
      <c r="A73" s="151"/>
      <c r="B73" s="150" t="s">
        <v>472</v>
      </c>
      <c r="C73" s="150" t="s">
        <v>473</v>
      </c>
      <c r="D73" s="150" t="s">
        <v>279</v>
      </c>
      <c r="E73" s="150" t="s">
        <v>280</v>
      </c>
      <c r="F73" s="150" t="s">
        <v>468</v>
      </c>
      <c r="G73" s="150" t="s">
        <v>469</v>
      </c>
      <c r="H73" s="12">
        <v>4000</v>
      </c>
      <c r="I73" s="12">
        <v>4000</v>
      </c>
      <c r="J73" s="12"/>
      <c r="K73" s="12"/>
      <c r="L73" s="12">
        <v>4000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ht="18.75" customHeight="1">
      <c r="A74" s="151"/>
      <c r="B74" s="150" t="s">
        <v>472</v>
      </c>
      <c r="C74" s="150" t="s">
        <v>473</v>
      </c>
      <c r="D74" s="150" t="s">
        <v>285</v>
      </c>
      <c r="E74" s="150" t="s">
        <v>280</v>
      </c>
      <c r="F74" s="150" t="s">
        <v>474</v>
      </c>
      <c r="G74" s="150" t="s">
        <v>475</v>
      </c>
      <c r="H74" s="12">
        <v>2000</v>
      </c>
      <c r="I74" s="12">
        <v>2000</v>
      </c>
      <c r="J74" s="12"/>
      <c r="K74" s="12"/>
      <c r="L74" s="12">
        <v>2000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ht="18.75" customHeight="1">
      <c r="A75" s="151"/>
      <c r="B75" s="150" t="s">
        <v>472</v>
      </c>
      <c r="C75" s="150" t="s">
        <v>473</v>
      </c>
      <c r="D75" s="150" t="s">
        <v>285</v>
      </c>
      <c r="E75" s="150" t="s">
        <v>280</v>
      </c>
      <c r="F75" s="150" t="s">
        <v>476</v>
      </c>
      <c r="G75" s="150" t="s">
        <v>477</v>
      </c>
      <c r="H75" s="12">
        <v>12000</v>
      </c>
      <c r="I75" s="12">
        <v>12000</v>
      </c>
      <c r="J75" s="12"/>
      <c r="K75" s="12"/>
      <c r="L75" s="12">
        <v>12000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ht="18.75" customHeight="1">
      <c r="A76" s="151"/>
      <c r="B76" s="150" t="s">
        <v>472</v>
      </c>
      <c r="C76" s="150" t="s">
        <v>473</v>
      </c>
      <c r="D76" s="150" t="s">
        <v>285</v>
      </c>
      <c r="E76" s="150" t="s">
        <v>280</v>
      </c>
      <c r="F76" s="150" t="s">
        <v>468</v>
      </c>
      <c r="G76" s="150" t="s">
        <v>469</v>
      </c>
      <c r="H76" s="12">
        <v>34000</v>
      </c>
      <c r="I76" s="12">
        <v>34000</v>
      </c>
      <c r="J76" s="12"/>
      <c r="K76" s="12"/>
      <c r="L76" s="12">
        <v>34000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ht="18.75" customHeight="1">
      <c r="A77" s="151"/>
      <c r="B77" s="150" t="s">
        <v>472</v>
      </c>
      <c r="C77" s="150" t="s">
        <v>473</v>
      </c>
      <c r="D77" s="150" t="s">
        <v>285</v>
      </c>
      <c r="E77" s="150" t="s">
        <v>280</v>
      </c>
      <c r="F77" s="150" t="s">
        <v>478</v>
      </c>
      <c r="G77" s="150" t="s">
        <v>479</v>
      </c>
      <c r="H77" s="12">
        <v>4000</v>
      </c>
      <c r="I77" s="12">
        <v>4000</v>
      </c>
      <c r="J77" s="12"/>
      <c r="K77" s="12"/>
      <c r="L77" s="12">
        <v>4000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ht="18.75" customHeight="1">
      <c r="A78" s="151"/>
      <c r="B78" s="150" t="s">
        <v>472</v>
      </c>
      <c r="C78" s="150" t="s">
        <v>473</v>
      </c>
      <c r="D78" s="150" t="s">
        <v>299</v>
      </c>
      <c r="E78" s="150" t="s">
        <v>280</v>
      </c>
      <c r="F78" s="150" t="s">
        <v>468</v>
      </c>
      <c r="G78" s="150" t="s">
        <v>469</v>
      </c>
      <c r="H78" s="12">
        <v>5200</v>
      </c>
      <c r="I78" s="12">
        <v>5200</v>
      </c>
      <c r="J78" s="12"/>
      <c r="K78" s="12"/>
      <c r="L78" s="12">
        <v>5200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ht="18.75" customHeight="1">
      <c r="A79" s="151"/>
      <c r="B79" s="150" t="s">
        <v>472</v>
      </c>
      <c r="C79" s="150" t="s">
        <v>473</v>
      </c>
      <c r="D79" s="150" t="s">
        <v>299</v>
      </c>
      <c r="E79" s="150" t="s">
        <v>280</v>
      </c>
      <c r="F79" s="150" t="s">
        <v>480</v>
      </c>
      <c r="G79" s="150" t="s">
        <v>481</v>
      </c>
      <c r="H79" s="12">
        <v>10000</v>
      </c>
      <c r="I79" s="12">
        <v>10000</v>
      </c>
      <c r="J79" s="12"/>
      <c r="K79" s="12"/>
      <c r="L79" s="12">
        <v>10000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ht="18.75" customHeight="1">
      <c r="A80" s="151"/>
      <c r="B80" s="150" t="s">
        <v>472</v>
      </c>
      <c r="C80" s="150" t="s">
        <v>473</v>
      </c>
      <c r="D80" s="150" t="s">
        <v>299</v>
      </c>
      <c r="E80" s="150" t="s">
        <v>280</v>
      </c>
      <c r="F80" s="150" t="s">
        <v>478</v>
      </c>
      <c r="G80" s="150" t="s">
        <v>479</v>
      </c>
      <c r="H80" s="12">
        <v>4000</v>
      </c>
      <c r="I80" s="12">
        <v>4000</v>
      </c>
      <c r="J80" s="12"/>
      <c r="K80" s="12"/>
      <c r="L80" s="12">
        <v>4000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ht="18.75" customHeight="1">
      <c r="A81" s="151"/>
      <c r="B81" s="150" t="s">
        <v>472</v>
      </c>
      <c r="C81" s="150" t="s">
        <v>473</v>
      </c>
      <c r="D81" s="150" t="s">
        <v>299</v>
      </c>
      <c r="E81" s="150" t="s">
        <v>280</v>
      </c>
      <c r="F81" s="150" t="s">
        <v>474</v>
      </c>
      <c r="G81" s="150" t="s">
        <v>475</v>
      </c>
      <c r="H81" s="12">
        <v>3000</v>
      </c>
      <c r="I81" s="12">
        <v>3000</v>
      </c>
      <c r="J81" s="12"/>
      <c r="K81" s="12"/>
      <c r="L81" s="12">
        <v>3000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ht="18.75" customHeight="1">
      <c r="A82" s="151"/>
      <c r="B82" s="150" t="s">
        <v>472</v>
      </c>
      <c r="C82" s="150" t="s">
        <v>473</v>
      </c>
      <c r="D82" s="150" t="s">
        <v>302</v>
      </c>
      <c r="E82" s="150" t="s">
        <v>280</v>
      </c>
      <c r="F82" s="150" t="s">
        <v>468</v>
      </c>
      <c r="G82" s="150" t="s">
        <v>469</v>
      </c>
      <c r="H82" s="12">
        <v>14000</v>
      </c>
      <c r="I82" s="12">
        <v>14000</v>
      </c>
      <c r="J82" s="12"/>
      <c r="K82" s="12"/>
      <c r="L82" s="12">
        <v>14000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ht="18.75" customHeight="1">
      <c r="A83" s="151"/>
      <c r="B83" s="150" t="s">
        <v>472</v>
      </c>
      <c r="C83" s="150" t="s">
        <v>473</v>
      </c>
      <c r="D83" s="150" t="s">
        <v>302</v>
      </c>
      <c r="E83" s="150" t="s">
        <v>280</v>
      </c>
      <c r="F83" s="150" t="s">
        <v>478</v>
      </c>
      <c r="G83" s="150" t="s">
        <v>479</v>
      </c>
      <c r="H83" s="12">
        <v>4000</v>
      </c>
      <c r="I83" s="12">
        <v>4000</v>
      </c>
      <c r="J83" s="12"/>
      <c r="K83" s="12"/>
      <c r="L83" s="12">
        <v>4000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ht="18.75" customHeight="1">
      <c r="A84" s="151"/>
      <c r="B84" s="150" t="s">
        <v>472</v>
      </c>
      <c r="C84" s="150" t="s">
        <v>473</v>
      </c>
      <c r="D84" s="150" t="s">
        <v>302</v>
      </c>
      <c r="E84" s="150" t="s">
        <v>280</v>
      </c>
      <c r="F84" s="150" t="s">
        <v>480</v>
      </c>
      <c r="G84" s="150" t="s">
        <v>481</v>
      </c>
      <c r="H84" s="12">
        <v>5000</v>
      </c>
      <c r="I84" s="12">
        <v>5000</v>
      </c>
      <c r="J84" s="12"/>
      <c r="K84" s="12"/>
      <c r="L84" s="12">
        <v>5000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ht="18.75" customHeight="1">
      <c r="A85" s="151"/>
      <c r="B85" s="150" t="s">
        <v>472</v>
      </c>
      <c r="C85" s="150" t="s">
        <v>473</v>
      </c>
      <c r="D85" s="150" t="s">
        <v>302</v>
      </c>
      <c r="E85" s="150" t="s">
        <v>280</v>
      </c>
      <c r="F85" s="150" t="s">
        <v>474</v>
      </c>
      <c r="G85" s="150" t="s">
        <v>475</v>
      </c>
      <c r="H85" s="12">
        <v>5000</v>
      </c>
      <c r="I85" s="12">
        <v>5000</v>
      </c>
      <c r="J85" s="12"/>
      <c r="K85" s="12"/>
      <c r="L85" s="12">
        <v>5000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ht="18.75" customHeight="1">
      <c r="A86" s="151"/>
      <c r="B86" s="150" t="s">
        <v>472</v>
      </c>
      <c r="C86" s="150" t="s">
        <v>473</v>
      </c>
      <c r="D86" s="150" t="s">
        <v>305</v>
      </c>
      <c r="E86" s="150" t="s">
        <v>306</v>
      </c>
      <c r="F86" s="150" t="s">
        <v>476</v>
      </c>
      <c r="G86" s="150" t="s">
        <v>477</v>
      </c>
      <c r="H86" s="12">
        <v>8000</v>
      </c>
      <c r="I86" s="12">
        <v>8000</v>
      </c>
      <c r="J86" s="12"/>
      <c r="K86" s="12"/>
      <c r="L86" s="12">
        <v>8000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ht="18.75" customHeight="1">
      <c r="A87" s="151"/>
      <c r="B87" s="150" t="s">
        <v>472</v>
      </c>
      <c r="C87" s="150" t="s">
        <v>473</v>
      </c>
      <c r="D87" s="150" t="s">
        <v>305</v>
      </c>
      <c r="E87" s="150" t="s">
        <v>306</v>
      </c>
      <c r="F87" s="150" t="s">
        <v>468</v>
      </c>
      <c r="G87" s="150" t="s">
        <v>469</v>
      </c>
      <c r="H87" s="12">
        <v>20000</v>
      </c>
      <c r="I87" s="12">
        <v>20000</v>
      </c>
      <c r="J87" s="12"/>
      <c r="K87" s="12"/>
      <c r="L87" s="12">
        <v>20000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ht="18.75" customHeight="1">
      <c r="A88" s="151"/>
      <c r="B88" s="150" t="s">
        <v>472</v>
      </c>
      <c r="C88" s="150" t="s">
        <v>473</v>
      </c>
      <c r="D88" s="150" t="s">
        <v>305</v>
      </c>
      <c r="E88" s="150" t="s">
        <v>306</v>
      </c>
      <c r="F88" s="150" t="s">
        <v>478</v>
      </c>
      <c r="G88" s="150" t="s">
        <v>479</v>
      </c>
      <c r="H88" s="12">
        <v>2000</v>
      </c>
      <c r="I88" s="12">
        <v>2000</v>
      </c>
      <c r="J88" s="12"/>
      <c r="K88" s="12"/>
      <c r="L88" s="12">
        <v>2000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ht="18.75" customHeight="1">
      <c r="A89" s="151"/>
      <c r="B89" s="150" t="s">
        <v>472</v>
      </c>
      <c r="C89" s="150" t="s">
        <v>473</v>
      </c>
      <c r="D89" s="150" t="s">
        <v>305</v>
      </c>
      <c r="E89" s="150" t="s">
        <v>306</v>
      </c>
      <c r="F89" s="150" t="s">
        <v>480</v>
      </c>
      <c r="G89" s="150" t="s">
        <v>481</v>
      </c>
      <c r="H89" s="12">
        <v>10000</v>
      </c>
      <c r="I89" s="12">
        <v>10000</v>
      </c>
      <c r="J89" s="12"/>
      <c r="K89" s="12"/>
      <c r="L89" s="12">
        <v>10000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ht="18.75" customHeight="1">
      <c r="A90" s="151"/>
      <c r="B90" s="150" t="s">
        <v>472</v>
      </c>
      <c r="C90" s="150" t="s">
        <v>473</v>
      </c>
      <c r="D90" s="150" t="s">
        <v>313</v>
      </c>
      <c r="E90" s="150" t="s">
        <v>280</v>
      </c>
      <c r="F90" s="150" t="s">
        <v>468</v>
      </c>
      <c r="G90" s="150" t="s">
        <v>469</v>
      </c>
      <c r="H90" s="12">
        <v>2000</v>
      </c>
      <c r="I90" s="12">
        <v>2000</v>
      </c>
      <c r="J90" s="12"/>
      <c r="K90" s="12"/>
      <c r="L90" s="12">
        <v>2000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ht="18.75" customHeight="1">
      <c r="A91" s="151"/>
      <c r="B91" s="150" t="s">
        <v>472</v>
      </c>
      <c r="C91" s="150" t="s">
        <v>473</v>
      </c>
      <c r="D91" s="150" t="s">
        <v>313</v>
      </c>
      <c r="E91" s="150" t="s">
        <v>280</v>
      </c>
      <c r="F91" s="150" t="s">
        <v>468</v>
      </c>
      <c r="G91" s="150" t="s">
        <v>469</v>
      </c>
      <c r="H91" s="12">
        <v>6000</v>
      </c>
      <c r="I91" s="12">
        <v>6000</v>
      </c>
      <c r="J91" s="12"/>
      <c r="K91" s="12"/>
      <c r="L91" s="12">
        <v>6000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ht="18.75" customHeight="1">
      <c r="A92" s="151"/>
      <c r="B92" s="150" t="s">
        <v>472</v>
      </c>
      <c r="C92" s="150" t="s">
        <v>473</v>
      </c>
      <c r="D92" s="150" t="s">
        <v>362</v>
      </c>
      <c r="E92" s="150" t="s">
        <v>363</v>
      </c>
      <c r="F92" s="150" t="s">
        <v>480</v>
      </c>
      <c r="G92" s="150" t="s">
        <v>481</v>
      </c>
      <c r="H92" s="12">
        <v>5000</v>
      </c>
      <c r="I92" s="12">
        <v>5000</v>
      </c>
      <c r="J92" s="12"/>
      <c r="K92" s="12"/>
      <c r="L92" s="12">
        <v>5000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ht="18.75" customHeight="1">
      <c r="A93" s="151"/>
      <c r="B93" s="150" t="s">
        <v>472</v>
      </c>
      <c r="C93" s="150" t="s">
        <v>473</v>
      </c>
      <c r="D93" s="150" t="s">
        <v>362</v>
      </c>
      <c r="E93" s="150" t="s">
        <v>363</v>
      </c>
      <c r="F93" s="150" t="s">
        <v>468</v>
      </c>
      <c r="G93" s="150" t="s">
        <v>469</v>
      </c>
      <c r="H93" s="12">
        <v>20000</v>
      </c>
      <c r="I93" s="12">
        <v>20000</v>
      </c>
      <c r="J93" s="12"/>
      <c r="K93" s="12"/>
      <c r="L93" s="12">
        <v>20000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ht="18.75" customHeight="1">
      <c r="A94" s="151"/>
      <c r="B94" s="150" t="s">
        <v>472</v>
      </c>
      <c r="C94" s="150" t="s">
        <v>473</v>
      </c>
      <c r="D94" s="150" t="s">
        <v>362</v>
      </c>
      <c r="E94" s="150" t="s">
        <v>363</v>
      </c>
      <c r="F94" s="150" t="s">
        <v>468</v>
      </c>
      <c r="G94" s="150" t="s">
        <v>469</v>
      </c>
      <c r="H94" s="12">
        <v>15000</v>
      </c>
      <c r="I94" s="12">
        <v>15000</v>
      </c>
      <c r="J94" s="12"/>
      <c r="K94" s="12"/>
      <c r="L94" s="12">
        <v>15000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ht="18.75" customHeight="1">
      <c r="A95" s="151"/>
      <c r="B95" s="150" t="s">
        <v>482</v>
      </c>
      <c r="C95" s="150" t="s">
        <v>483</v>
      </c>
      <c r="D95" s="150" t="s">
        <v>370</v>
      </c>
      <c r="E95" s="150" t="s">
        <v>306</v>
      </c>
      <c r="F95" s="150" t="s">
        <v>484</v>
      </c>
      <c r="G95" s="150" t="s">
        <v>399</v>
      </c>
      <c r="H95" s="12">
        <v>20000</v>
      </c>
      <c r="I95" s="12">
        <v>20000</v>
      </c>
      <c r="J95" s="12"/>
      <c r="K95" s="12"/>
      <c r="L95" s="12">
        <v>20000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ht="18.75" customHeight="1">
      <c r="A96" s="151"/>
      <c r="B96" s="150" t="s">
        <v>472</v>
      </c>
      <c r="C96" s="150" t="s">
        <v>473</v>
      </c>
      <c r="D96" s="150" t="s">
        <v>370</v>
      </c>
      <c r="E96" s="150" t="s">
        <v>306</v>
      </c>
      <c r="F96" s="150" t="s">
        <v>468</v>
      </c>
      <c r="G96" s="150" t="s">
        <v>469</v>
      </c>
      <c r="H96" s="12">
        <v>32000</v>
      </c>
      <c r="I96" s="12">
        <v>32000</v>
      </c>
      <c r="J96" s="12"/>
      <c r="K96" s="12"/>
      <c r="L96" s="12">
        <v>32000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ht="18.75" customHeight="1">
      <c r="A97" s="151"/>
      <c r="B97" s="150" t="s">
        <v>472</v>
      </c>
      <c r="C97" s="150" t="s">
        <v>473</v>
      </c>
      <c r="D97" s="150" t="s">
        <v>370</v>
      </c>
      <c r="E97" s="150" t="s">
        <v>306</v>
      </c>
      <c r="F97" s="150" t="s">
        <v>474</v>
      </c>
      <c r="G97" s="150" t="s">
        <v>475</v>
      </c>
      <c r="H97" s="12">
        <v>10000</v>
      </c>
      <c r="I97" s="12">
        <v>10000</v>
      </c>
      <c r="J97" s="12"/>
      <c r="K97" s="12"/>
      <c r="L97" s="12">
        <v>10000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ht="18.75" customHeight="1">
      <c r="A98" s="151"/>
      <c r="B98" s="150" t="s">
        <v>485</v>
      </c>
      <c r="C98" s="150" t="s">
        <v>486</v>
      </c>
      <c r="D98" s="150" t="s">
        <v>370</v>
      </c>
      <c r="E98" s="150" t="s">
        <v>306</v>
      </c>
      <c r="F98" s="150" t="s">
        <v>487</v>
      </c>
      <c r="G98" s="150" t="s">
        <v>488</v>
      </c>
      <c r="H98" s="12">
        <v>30000</v>
      </c>
      <c r="I98" s="12">
        <v>30000</v>
      </c>
      <c r="J98" s="12"/>
      <c r="K98" s="12"/>
      <c r="L98" s="12">
        <v>30000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ht="18.75" customHeight="1">
      <c r="A99" s="151"/>
      <c r="B99" s="150" t="s">
        <v>489</v>
      </c>
      <c r="C99" s="150" t="s">
        <v>490</v>
      </c>
      <c r="D99" s="150" t="s">
        <v>299</v>
      </c>
      <c r="E99" s="150" t="s">
        <v>280</v>
      </c>
      <c r="F99" s="150" t="s">
        <v>468</v>
      </c>
      <c r="G99" s="150" t="s">
        <v>469</v>
      </c>
      <c r="H99" s="12">
        <v>13500</v>
      </c>
      <c r="I99" s="12">
        <v>13500</v>
      </c>
      <c r="J99" s="12"/>
      <c r="K99" s="12"/>
      <c r="L99" s="12">
        <v>13500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ht="18.75" customHeight="1">
      <c r="A100" s="151"/>
      <c r="B100" s="150" t="s">
        <v>491</v>
      </c>
      <c r="C100" s="150" t="s">
        <v>492</v>
      </c>
      <c r="D100" s="150" t="s">
        <v>285</v>
      </c>
      <c r="E100" s="150" t="s">
        <v>280</v>
      </c>
      <c r="F100" s="150" t="s">
        <v>468</v>
      </c>
      <c r="G100" s="150" t="s">
        <v>469</v>
      </c>
      <c r="H100" s="12">
        <v>240000</v>
      </c>
      <c r="I100" s="12">
        <v>240000</v>
      </c>
      <c r="J100" s="12"/>
      <c r="K100" s="12"/>
      <c r="L100" s="12">
        <v>240000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ht="18.75" customHeight="1">
      <c r="A101" s="151"/>
      <c r="B101" s="150" t="s">
        <v>493</v>
      </c>
      <c r="C101" s="150" t="s">
        <v>494</v>
      </c>
      <c r="D101" s="150" t="s">
        <v>279</v>
      </c>
      <c r="E101" s="150" t="s">
        <v>280</v>
      </c>
      <c r="F101" s="150" t="s">
        <v>495</v>
      </c>
      <c r="G101" s="150" t="s">
        <v>494</v>
      </c>
      <c r="H101" s="12">
        <v>1957.68</v>
      </c>
      <c r="I101" s="12">
        <v>1957.68</v>
      </c>
      <c r="J101" s="12"/>
      <c r="K101" s="12"/>
      <c r="L101" s="12">
        <v>1957.68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ht="18.75" customHeight="1">
      <c r="A102" s="151"/>
      <c r="B102" s="150" t="s">
        <v>493</v>
      </c>
      <c r="C102" s="150" t="s">
        <v>494</v>
      </c>
      <c r="D102" s="150" t="s">
        <v>285</v>
      </c>
      <c r="E102" s="150" t="s">
        <v>280</v>
      </c>
      <c r="F102" s="150" t="s">
        <v>495</v>
      </c>
      <c r="G102" s="150" t="s">
        <v>494</v>
      </c>
      <c r="H102" s="12">
        <v>22327.2</v>
      </c>
      <c r="I102" s="12">
        <v>22327.2</v>
      </c>
      <c r="J102" s="12"/>
      <c r="K102" s="12"/>
      <c r="L102" s="12">
        <v>22327.2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ht="18.75" customHeight="1">
      <c r="A103" s="151"/>
      <c r="B103" s="150" t="s">
        <v>493</v>
      </c>
      <c r="C103" s="150" t="s">
        <v>494</v>
      </c>
      <c r="D103" s="150" t="s">
        <v>299</v>
      </c>
      <c r="E103" s="150" t="s">
        <v>280</v>
      </c>
      <c r="F103" s="150" t="s">
        <v>495</v>
      </c>
      <c r="G103" s="150" t="s">
        <v>494</v>
      </c>
      <c r="H103" s="12">
        <v>3139.68</v>
      </c>
      <c r="I103" s="12">
        <v>3139.68</v>
      </c>
      <c r="J103" s="12"/>
      <c r="K103" s="12"/>
      <c r="L103" s="12">
        <v>3139.68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ht="18.75" customHeight="1">
      <c r="A104" s="151"/>
      <c r="B104" s="150" t="s">
        <v>493</v>
      </c>
      <c r="C104" s="150" t="s">
        <v>494</v>
      </c>
      <c r="D104" s="150" t="s">
        <v>302</v>
      </c>
      <c r="E104" s="150" t="s">
        <v>280</v>
      </c>
      <c r="F104" s="150" t="s">
        <v>495</v>
      </c>
      <c r="G104" s="150" t="s">
        <v>494</v>
      </c>
      <c r="H104" s="12">
        <v>11792.64</v>
      </c>
      <c r="I104" s="12">
        <v>11792.64</v>
      </c>
      <c r="J104" s="12"/>
      <c r="K104" s="12"/>
      <c r="L104" s="12">
        <v>11792.64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ht="18.75" customHeight="1">
      <c r="A105" s="151"/>
      <c r="B105" s="150" t="s">
        <v>493</v>
      </c>
      <c r="C105" s="150" t="s">
        <v>494</v>
      </c>
      <c r="D105" s="150" t="s">
        <v>305</v>
      </c>
      <c r="E105" s="150" t="s">
        <v>306</v>
      </c>
      <c r="F105" s="150" t="s">
        <v>495</v>
      </c>
      <c r="G105" s="150" t="s">
        <v>494</v>
      </c>
      <c r="H105" s="12">
        <v>17159.28</v>
      </c>
      <c r="I105" s="12">
        <v>17159.28</v>
      </c>
      <c r="J105" s="12"/>
      <c r="K105" s="12"/>
      <c r="L105" s="12">
        <v>17159.28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ht="18.75" customHeight="1">
      <c r="A106" s="151"/>
      <c r="B106" s="150" t="s">
        <v>493</v>
      </c>
      <c r="C106" s="150" t="s">
        <v>494</v>
      </c>
      <c r="D106" s="150" t="s">
        <v>313</v>
      </c>
      <c r="E106" s="150" t="s">
        <v>280</v>
      </c>
      <c r="F106" s="150" t="s">
        <v>495</v>
      </c>
      <c r="G106" s="150" t="s">
        <v>494</v>
      </c>
      <c r="H106" s="12">
        <v>3349.92</v>
      </c>
      <c r="I106" s="12">
        <v>3349.92</v>
      </c>
      <c r="J106" s="12"/>
      <c r="K106" s="12"/>
      <c r="L106" s="12">
        <v>3349.92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ht="18.75" customHeight="1">
      <c r="A107" s="151"/>
      <c r="B107" s="150" t="s">
        <v>493</v>
      </c>
      <c r="C107" s="150" t="s">
        <v>494</v>
      </c>
      <c r="D107" s="150" t="s">
        <v>362</v>
      </c>
      <c r="E107" s="150" t="s">
        <v>363</v>
      </c>
      <c r="F107" s="150" t="s">
        <v>495</v>
      </c>
      <c r="G107" s="150" t="s">
        <v>494</v>
      </c>
      <c r="H107" s="12">
        <v>19115.76</v>
      </c>
      <c r="I107" s="12">
        <v>19115.76</v>
      </c>
      <c r="J107" s="12"/>
      <c r="K107" s="12"/>
      <c r="L107" s="12">
        <v>19115.76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ht="18.75" customHeight="1">
      <c r="A108" s="151"/>
      <c r="B108" s="150" t="s">
        <v>493</v>
      </c>
      <c r="C108" s="150" t="s">
        <v>494</v>
      </c>
      <c r="D108" s="150" t="s">
        <v>370</v>
      </c>
      <c r="E108" s="150" t="s">
        <v>306</v>
      </c>
      <c r="F108" s="150" t="s">
        <v>495</v>
      </c>
      <c r="G108" s="150" t="s">
        <v>494</v>
      </c>
      <c r="H108" s="12">
        <v>43489.44</v>
      </c>
      <c r="I108" s="12">
        <v>43489.44</v>
      </c>
      <c r="J108" s="12"/>
      <c r="K108" s="12"/>
      <c r="L108" s="12">
        <v>43489.44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ht="18.75" customHeight="1">
      <c r="A109" s="151"/>
      <c r="B109" s="150" t="s">
        <v>496</v>
      </c>
      <c r="C109" s="150" t="s">
        <v>488</v>
      </c>
      <c r="D109" s="150" t="s">
        <v>285</v>
      </c>
      <c r="E109" s="150" t="s">
        <v>280</v>
      </c>
      <c r="F109" s="150" t="s">
        <v>487</v>
      </c>
      <c r="G109" s="150" t="s">
        <v>488</v>
      </c>
      <c r="H109" s="12">
        <v>60000</v>
      </c>
      <c r="I109" s="12">
        <v>60000</v>
      </c>
      <c r="J109" s="12"/>
      <c r="K109" s="12"/>
      <c r="L109" s="12">
        <v>60000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ht="18.75" customHeight="1">
      <c r="A110" s="151"/>
      <c r="B110" s="150" t="s">
        <v>497</v>
      </c>
      <c r="C110" s="150" t="s">
        <v>498</v>
      </c>
      <c r="D110" s="150" t="s">
        <v>279</v>
      </c>
      <c r="E110" s="150" t="s">
        <v>280</v>
      </c>
      <c r="F110" s="150" t="s">
        <v>499</v>
      </c>
      <c r="G110" s="150" t="s">
        <v>500</v>
      </c>
      <c r="H110" s="12">
        <v>9000</v>
      </c>
      <c r="I110" s="12">
        <v>9000</v>
      </c>
      <c r="J110" s="12"/>
      <c r="K110" s="12"/>
      <c r="L110" s="12">
        <v>9000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ht="18.75" customHeight="1">
      <c r="A111" s="151"/>
      <c r="B111" s="150" t="s">
        <v>497</v>
      </c>
      <c r="C111" s="150" t="s">
        <v>498</v>
      </c>
      <c r="D111" s="150" t="s">
        <v>285</v>
      </c>
      <c r="E111" s="150" t="s">
        <v>280</v>
      </c>
      <c r="F111" s="150" t="s">
        <v>499</v>
      </c>
      <c r="G111" s="150" t="s">
        <v>500</v>
      </c>
      <c r="H111" s="12">
        <v>115800</v>
      </c>
      <c r="I111" s="12">
        <v>115800</v>
      </c>
      <c r="J111" s="12"/>
      <c r="K111" s="12"/>
      <c r="L111" s="12">
        <v>115800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ht="18.75" customHeight="1">
      <c r="A112" s="151"/>
      <c r="B112" s="150" t="s">
        <v>497</v>
      </c>
      <c r="C112" s="150" t="s">
        <v>498</v>
      </c>
      <c r="D112" s="150" t="s">
        <v>299</v>
      </c>
      <c r="E112" s="150" t="s">
        <v>280</v>
      </c>
      <c r="F112" s="150" t="s">
        <v>499</v>
      </c>
      <c r="G112" s="150" t="s">
        <v>500</v>
      </c>
      <c r="H112" s="12">
        <v>18000</v>
      </c>
      <c r="I112" s="12">
        <v>18000</v>
      </c>
      <c r="J112" s="12"/>
      <c r="K112" s="12"/>
      <c r="L112" s="12">
        <v>18000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ht="18.75" customHeight="1">
      <c r="A113" s="151"/>
      <c r="B113" s="150" t="s">
        <v>497</v>
      </c>
      <c r="C113" s="150" t="s">
        <v>498</v>
      </c>
      <c r="D113" s="150" t="s">
        <v>302</v>
      </c>
      <c r="E113" s="150" t="s">
        <v>280</v>
      </c>
      <c r="F113" s="150" t="s">
        <v>499</v>
      </c>
      <c r="G113" s="150" t="s">
        <v>500</v>
      </c>
      <c r="H113" s="12">
        <v>63000</v>
      </c>
      <c r="I113" s="12">
        <v>63000</v>
      </c>
      <c r="J113" s="12"/>
      <c r="K113" s="12"/>
      <c r="L113" s="12">
        <v>63000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ht="18.75" customHeight="1">
      <c r="A114" s="151"/>
      <c r="B114" s="150" t="s">
        <v>497</v>
      </c>
      <c r="C114" s="150" t="s">
        <v>498</v>
      </c>
      <c r="D114" s="150" t="s">
        <v>313</v>
      </c>
      <c r="E114" s="150" t="s">
        <v>280</v>
      </c>
      <c r="F114" s="150" t="s">
        <v>499</v>
      </c>
      <c r="G114" s="150" t="s">
        <v>500</v>
      </c>
      <c r="H114" s="12">
        <v>18000</v>
      </c>
      <c r="I114" s="12">
        <v>18000</v>
      </c>
      <c r="J114" s="12"/>
      <c r="K114" s="12"/>
      <c r="L114" s="12">
        <v>18000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ht="18.75" customHeight="1">
      <c r="A115" s="151"/>
      <c r="B115" s="150" t="s">
        <v>501</v>
      </c>
      <c r="C115" s="150" t="s">
        <v>502</v>
      </c>
      <c r="D115" s="150" t="s">
        <v>285</v>
      </c>
      <c r="E115" s="150" t="s">
        <v>280</v>
      </c>
      <c r="F115" s="150" t="s">
        <v>503</v>
      </c>
      <c r="G115" s="150" t="s">
        <v>504</v>
      </c>
      <c r="H115" s="12">
        <v>91748.7</v>
      </c>
      <c r="I115" s="12">
        <v>91748.7</v>
      </c>
      <c r="J115" s="12"/>
      <c r="K115" s="12"/>
      <c r="L115" s="12">
        <v>91748.7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ht="18.75" customHeight="1">
      <c r="A116" s="151"/>
      <c r="B116" s="150" t="s">
        <v>505</v>
      </c>
      <c r="C116" s="150" t="s">
        <v>506</v>
      </c>
      <c r="D116" s="150" t="s">
        <v>328</v>
      </c>
      <c r="E116" s="150" t="s">
        <v>329</v>
      </c>
      <c r="F116" s="150" t="s">
        <v>507</v>
      </c>
      <c r="G116" s="150" t="s">
        <v>508</v>
      </c>
      <c r="H116" s="12">
        <v>680455.2</v>
      </c>
      <c r="I116" s="12">
        <v>680455.2</v>
      </c>
      <c r="J116" s="12"/>
      <c r="K116" s="12"/>
      <c r="L116" s="12">
        <v>680455.2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ht="18.75" customHeight="1">
      <c r="A117" s="151"/>
      <c r="B117" s="150" t="s">
        <v>509</v>
      </c>
      <c r="C117" s="150" t="s">
        <v>510</v>
      </c>
      <c r="D117" s="150" t="s">
        <v>285</v>
      </c>
      <c r="E117" s="150" t="s">
        <v>280</v>
      </c>
      <c r="F117" s="150" t="s">
        <v>511</v>
      </c>
      <c r="G117" s="150" t="s">
        <v>512</v>
      </c>
      <c r="H117" s="12">
        <v>14400</v>
      </c>
      <c r="I117" s="12">
        <v>14400</v>
      </c>
      <c r="J117" s="12"/>
      <c r="K117" s="12"/>
      <c r="L117" s="12">
        <v>14400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ht="18.75" customHeight="1">
      <c r="A118" s="151"/>
      <c r="B118" s="150" t="s">
        <v>513</v>
      </c>
      <c r="C118" s="150" t="s">
        <v>514</v>
      </c>
      <c r="D118" s="150" t="s">
        <v>285</v>
      </c>
      <c r="E118" s="150" t="s">
        <v>280</v>
      </c>
      <c r="F118" s="150" t="s">
        <v>511</v>
      </c>
      <c r="G118" s="150" t="s">
        <v>512</v>
      </c>
      <c r="H118" s="12">
        <v>43200</v>
      </c>
      <c r="I118" s="12">
        <v>43200</v>
      </c>
      <c r="J118" s="12"/>
      <c r="K118" s="12"/>
      <c r="L118" s="12">
        <v>43200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ht="18.75" customHeight="1">
      <c r="A119" s="151"/>
      <c r="B119" s="150" t="s">
        <v>515</v>
      </c>
      <c r="C119" s="150" t="s">
        <v>516</v>
      </c>
      <c r="D119" s="150" t="s">
        <v>285</v>
      </c>
      <c r="E119" s="150" t="s">
        <v>280</v>
      </c>
      <c r="F119" s="150" t="s">
        <v>511</v>
      </c>
      <c r="G119" s="150" t="s">
        <v>512</v>
      </c>
      <c r="H119" s="12">
        <v>115200</v>
      </c>
      <c r="I119" s="12">
        <v>115200</v>
      </c>
      <c r="J119" s="12"/>
      <c r="K119" s="12"/>
      <c r="L119" s="12">
        <v>115200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ht="18.75" customHeight="1">
      <c r="A120" s="151"/>
      <c r="B120" s="150" t="s">
        <v>517</v>
      </c>
      <c r="C120" s="150" t="s">
        <v>518</v>
      </c>
      <c r="D120" s="150" t="s">
        <v>285</v>
      </c>
      <c r="E120" s="150" t="s">
        <v>280</v>
      </c>
      <c r="F120" s="150" t="s">
        <v>511</v>
      </c>
      <c r="G120" s="150" t="s">
        <v>512</v>
      </c>
      <c r="H120" s="12">
        <v>89369.28</v>
      </c>
      <c r="I120" s="12">
        <v>89369.28</v>
      </c>
      <c r="J120" s="12"/>
      <c r="K120" s="12"/>
      <c r="L120" s="12">
        <v>89369.28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ht="18.75" customHeight="1">
      <c r="A121" s="151"/>
      <c r="B121" s="150" t="s">
        <v>519</v>
      </c>
      <c r="C121" s="150" t="s">
        <v>520</v>
      </c>
      <c r="D121" s="150" t="s">
        <v>285</v>
      </c>
      <c r="E121" s="150" t="s">
        <v>280</v>
      </c>
      <c r="F121" s="150" t="s">
        <v>511</v>
      </c>
      <c r="G121" s="150" t="s">
        <v>512</v>
      </c>
      <c r="H121" s="12">
        <v>104368.32</v>
      </c>
      <c r="I121" s="12">
        <v>104368.32</v>
      </c>
      <c r="J121" s="12"/>
      <c r="K121" s="12"/>
      <c r="L121" s="12">
        <v>104368.32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ht="18.75" customHeight="1">
      <c r="A122" s="151"/>
      <c r="B122" s="150" t="s">
        <v>521</v>
      </c>
      <c r="C122" s="150" t="s">
        <v>522</v>
      </c>
      <c r="D122" s="150" t="s">
        <v>285</v>
      </c>
      <c r="E122" s="150" t="s">
        <v>280</v>
      </c>
      <c r="F122" s="150" t="s">
        <v>468</v>
      </c>
      <c r="G122" s="150" t="s">
        <v>469</v>
      </c>
      <c r="H122" s="12">
        <v>15000</v>
      </c>
      <c r="I122" s="12">
        <v>15000</v>
      </c>
      <c r="J122" s="12"/>
      <c r="K122" s="12"/>
      <c r="L122" s="12">
        <v>15000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ht="18.75" customHeight="1">
      <c r="A123" s="151"/>
      <c r="B123" s="150" t="s">
        <v>523</v>
      </c>
      <c r="C123" s="150" t="s">
        <v>524</v>
      </c>
      <c r="D123" s="150" t="s">
        <v>285</v>
      </c>
      <c r="E123" s="150" t="s">
        <v>280</v>
      </c>
      <c r="F123" s="150" t="s">
        <v>468</v>
      </c>
      <c r="G123" s="150" t="s">
        <v>469</v>
      </c>
      <c r="H123" s="12">
        <v>40000</v>
      </c>
      <c r="I123" s="12">
        <v>40000</v>
      </c>
      <c r="J123" s="12"/>
      <c r="K123" s="12"/>
      <c r="L123" s="12">
        <v>40000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ht="18.75" customHeight="1">
      <c r="A124" s="151"/>
      <c r="B124" s="150" t="s">
        <v>525</v>
      </c>
      <c r="C124" s="150" t="s">
        <v>526</v>
      </c>
      <c r="D124" s="150" t="s">
        <v>285</v>
      </c>
      <c r="E124" s="150" t="s">
        <v>280</v>
      </c>
      <c r="F124" s="150" t="s">
        <v>511</v>
      </c>
      <c r="G124" s="150" t="s">
        <v>512</v>
      </c>
      <c r="H124" s="12">
        <v>151200</v>
      </c>
      <c r="I124" s="12">
        <v>151200</v>
      </c>
      <c r="J124" s="12"/>
      <c r="K124" s="12"/>
      <c r="L124" s="12">
        <v>151200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ht="18.75" customHeight="1">
      <c r="A125" s="151"/>
      <c r="B125" s="150" t="s">
        <v>525</v>
      </c>
      <c r="C125" s="150" t="s">
        <v>526</v>
      </c>
      <c r="D125" s="150" t="s">
        <v>285</v>
      </c>
      <c r="E125" s="150" t="s">
        <v>280</v>
      </c>
      <c r="F125" s="150" t="s">
        <v>511</v>
      </c>
      <c r="G125" s="150" t="s">
        <v>512</v>
      </c>
      <c r="H125" s="12">
        <v>151200</v>
      </c>
      <c r="I125" s="12">
        <v>151200</v>
      </c>
      <c r="J125" s="12"/>
      <c r="K125" s="12"/>
      <c r="L125" s="12">
        <v>151200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ht="18.75" customHeight="1">
      <c r="A126" s="151"/>
      <c r="B126" s="150" t="s">
        <v>525</v>
      </c>
      <c r="C126" s="150" t="s">
        <v>526</v>
      </c>
      <c r="D126" s="150" t="s">
        <v>285</v>
      </c>
      <c r="E126" s="150" t="s">
        <v>280</v>
      </c>
      <c r="F126" s="150" t="s">
        <v>511</v>
      </c>
      <c r="G126" s="150" t="s">
        <v>512</v>
      </c>
      <c r="H126" s="12">
        <v>151200</v>
      </c>
      <c r="I126" s="12">
        <v>151200</v>
      </c>
      <c r="J126" s="12"/>
      <c r="K126" s="12"/>
      <c r="L126" s="12">
        <v>151200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ht="18.75" customHeight="1">
      <c r="A127" s="151"/>
      <c r="B127" s="150" t="s">
        <v>525</v>
      </c>
      <c r="C127" s="150" t="s">
        <v>526</v>
      </c>
      <c r="D127" s="150" t="s">
        <v>285</v>
      </c>
      <c r="E127" s="150" t="s">
        <v>280</v>
      </c>
      <c r="F127" s="150" t="s">
        <v>511</v>
      </c>
      <c r="G127" s="150" t="s">
        <v>512</v>
      </c>
      <c r="H127" s="12">
        <v>201600</v>
      </c>
      <c r="I127" s="12">
        <v>201600</v>
      </c>
      <c r="J127" s="12"/>
      <c r="K127" s="12"/>
      <c r="L127" s="12">
        <v>201600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ht="18.75" customHeight="1">
      <c r="A128" s="151"/>
      <c r="B128" s="150" t="s">
        <v>527</v>
      </c>
      <c r="C128" s="150" t="s">
        <v>528</v>
      </c>
      <c r="D128" s="150" t="s">
        <v>285</v>
      </c>
      <c r="E128" s="150" t="s">
        <v>280</v>
      </c>
      <c r="F128" s="150" t="s">
        <v>511</v>
      </c>
      <c r="G128" s="150" t="s">
        <v>512</v>
      </c>
      <c r="H128" s="12">
        <v>151200</v>
      </c>
      <c r="I128" s="12">
        <v>151200</v>
      </c>
      <c r="J128" s="12"/>
      <c r="K128" s="12"/>
      <c r="L128" s="12">
        <v>151200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ht="18.75" customHeight="1">
      <c r="A129" s="151"/>
      <c r="B129" s="150" t="s">
        <v>527</v>
      </c>
      <c r="C129" s="150" t="s">
        <v>528</v>
      </c>
      <c r="D129" s="150" t="s">
        <v>285</v>
      </c>
      <c r="E129" s="150" t="s">
        <v>280</v>
      </c>
      <c r="F129" s="150" t="s">
        <v>511</v>
      </c>
      <c r="G129" s="150" t="s">
        <v>512</v>
      </c>
      <c r="H129" s="12">
        <v>3600</v>
      </c>
      <c r="I129" s="12">
        <v>3600</v>
      </c>
      <c r="J129" s="12"/>
      <c r="K129" s="12"/>
      <c r="L129" s="12">
        <v>3600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ht="18.75" customHeight="1">
      <c r="A130" s="151"/>
      <c r="B130" s="150" t="s">
        <v>527</v>
      </c>
      <c r="C130" s="150" t="s">
        <v>528</v>
      </c>
      <c r="D130" s="150" t="s">
        <v>285</v>
      </c>
      <c r="E130" s="150" t="s">
        <v>280</v>
      </c>
      <c r="F130" s="150" t="s">
        <v>511</v>
      </c>
      <c r="G130" s="150" t="s">
        <v>512</v>
      </c>
      <c r="H130" s="12">
        <v>74760</v>
      </c>
      <c r="I130" s="12">
        <v>74760</v>
      </c>
      <c r="J130" s="12"/>
      <c r="K130" s="12"/>
      <c r="L130" s="12">
        <v>74760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ht="18.75" customHeight="1">
      <c r="A131" s="151"/>
      <c r="B131" s="150" t="s">
        <v>527</v>
      </c>
      <c r="C131" s="150" t="s">
        <v>528</v>
      </c>
      <c r="D131" s="150" t="s">
        <v>285</v>
      </c>
      <c r="E131" s="150" t="s">
        <v>280</v>
      </c>
      <c r="F131" s="150" t="s">
        <v>511</v>
      </c>
      <c r="G131" s="150" t="s">
        <v>512</v>
      </c>
      <c r="H131" s="12">
        <v>4200</v>
      </c>
      <c r="I131" s="12">
        <v>4200</v>
      </c>
      <c r="J131" s="12"/>
      <c r="K131" s="12"/>
      <c r="L131" s="12">
        <v>4200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ht="18.75" customHeight="1">
      <c r="A132" s="151"/>
      <c r="B132" s="150" t="s">
        <v>527</v>
      </c>
      <c r="C132" s="150" t="s">
        <v>528</v>
      </c>
      <c r="D132" s="150" t="s">
        <v>285</v>
      </c>
      <c r="E132" s="150" t="s">
        <v>280</v>
      </c>
      <c r="F132" s="150" t="s">
        <v>511</v>
      </c>
      <c r="G132" s="150" t="s">
        <v>512</v>
      </c>
      <c r="H132" s="12">
        <v>148680</v>
      </c>
      <c r="I132" s="12">
        <v>148680</v>
      </c>
      <c r="J132" s="12"/>
      <c r="K132" s="12"/>
      <c r="L132" s="12">
        <v>148680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ht="18.75" customHeight="1">
      <c r="A133" s="151"/>
      <c r="B133" s="150" t="s">
        <v>527</v>
      </c>
      <c r="C133" s="150" t="s">
        <v>528</v>
      </c>
      <c r="D133" s="150" t="s">
        <v>309</v>
      </c>
      <c r="E133" s="150" t="s">
        <v>310</v>
      </c>
      <c r="F133" s="150" t="s">
        <v>511</v>
      </c>
      <c r="G133" s="150" t="s">
        <v>512</v>
      </c>
      <c r="H133" s="12">
        <v>8400</v>
      </c>
      <c r="I133" s="12">
        <v>8400</v>
      </c>
      <c r="J133" s="12"/>
      <c r="K133" s="12"/>
      <c r="L133" s="12">
        <v>8400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ht="18.75" customHeight="1">
      <c r="A134" s="151"/>
      <c r="B134" s="150" t="s">
        <v>527</v>
      </c>
      <c r="C134" s="150" t="s">
        <v>528</v>
      </c>
      <c r="D134" s="150" t="s">
        <v>316</v>
      </c>
      <c r="E134" s="150" t="s">
        <v>317</v>
      </c>
      <c r="F134" s="150" t="s">
        <v>511</v>
      </c>
      <c r="G134" s="150" t="s">
        <v>512</v>
      </c>
      <c r="H134" s="12">
        <v>13440</v>
      </c>
      <c r="I134" s="12">
        <v>13440</v>
      </c>
      <c r="J134" s="12"/>
      <c r="K134" s="12"/>
      <c r="L134" s="12">
        <v>13440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ht="18.75" customHeight="1">
      <c r="A135" s="151"/>
      <c r="B135" s="150" t="s">
        <v>527</v>
      </c>
      <c r="C135" s="150" t="s">
        <v>528</v>
      </c>
      <c r="D135" s="150" t="s">
        <v>320</v>
      </c>
      <c r="E135" s="150" t="s">
        <v>321</v>
      </c>
      <c r="F135" s="150" t="s">
        <v>511</v>
      </c>
      <c r="G135" s="150" t="s">
        <v>512</v>
      </c>
      <c r="H135" s="12">
        <v>42000</v>
      </c>
      <c r="I135" s="12">
        <v>42000</v>
      </c>
      <c r="J135" s="12"/>
      <c r="K135" s="12"/>
      <c r="L135" s="12">
        <v>42000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ht="18.75" customHeight="1">
      <c r="A136" s="151"/>
      <c r="B136" s="150" t="s">
        <v>527</v>
      </c>
      <c r="C136" s="150" t="s">
        <v>528</v>
      </c>
      <c r="D136" s="150" t="s">
        <v>324</v>
      </c>
      <c r="E136" s="150" t="s">
        <v>325</v>
      </c>
      <c r="F136" s="150" t="s">
        <v>511</v>
      </c>
      <c r="G136" s="150" t="s">
        <v>512</v>
      </c>
      <c r="H136" s="12">
        <v>148680</v>
      </c>
      <c r="I136" s="12">
        <v>148680</v>
      </c>
      <c r="J136" s="12"/>
      <c r="K136" s="12"/>
      <c r="L136" s="12">
        <v>148680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ht="18.75" customHeight="1">
      <c r="A137" s="151"/>
      <c r="B137" s="150" t="s">
        <v>527</v>
      </c>
      <c r="C137" s="150" t="s">
        <v>528</v>
      </c>
      <c r="D137" s="150" t="s">
        <v>338</v>
      </c>
      <c r="E137" s="150" t="s">
        <v>339</v>
      </c>
      <c r="F137" s="150" t="s">
        <v>511</v>
      </c>
      <c r="G137" s="150" t="s">
        <v>512</v>
      </c>
      <c r="H137" s="12">
        <v>12600</v>
      </c>
      <c r="I137" s="12">
        <v>12600</v>
      </c>
      <c r="J137" s="12"/>
      <c r="K137" s="12"/>
      <c r="L137" s="12">
        <v>12600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ht="18.75" customHeight="1">
      <c r="A138" s="151"/>
      <c r="B138" s="150" t="s">
        <v>527</v>
      </c>
      <c r="C138" s="150" t="s">
        <v>528</v>
      </c>
      <c r="D138" s="150" t="s">
        <v>342</v>
      </c>
      <c r="E138" s="150" t="s">
        <v>343</v>
      </c>
      <c r="F138" s="150" t="s">
        <v>511</v>
      </c>
      <c r="G138" s="150" t="s">
        <v>512</v>
      </c>
      <c r="H138" s="12">
        <v>16800</v>
      </c>
      <c r="I138" s="12">
        <v>16800</v>
      </c>
      <c r="J138" s="12"/>
      <c r="K138" s="12"/>
      <c r="L138" s="12">
        <v>16800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ht="18.75" customHeight="1">
      <c r="A139" s="151"/>
      <c r="B139" s="150" t="s">
        <v>527</v>
      </c>
      <c r="C139" s="150" t="s">
        <v>528</v>
      </c>
      <c r="D139" s="150" t="s">
        <v>369</v>
      </c>
      <c r="E139" s="150" t="s">
        <v>280</v>
      </c>
      <c r="F139" s="150" t="s">
        <v>511</v>
      </c>
      <c r="G139" s="150" t="s">
        <v>512</v>
      </c>
      <c r="H139" s="12">
        <v>42000</v>
      </c>
      <c r="I139" s="12">
        <v>42000</v>
      </c>
      <c r="J139" s="12"/>
      <c r="K139" s="12"/>
      <c r="L139" s="12">
        <v>42000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ht="18.75" customHeight="1">
      <c r="A140" s="151"/>
      <c r="B140" s="150" t="s">
        <v>527</v>
      </c>
      <c r="C140" s="150" t="s">
        <v>528</v>
      </c>
      <c r="D140" s="150" t="s">
        <v>387</v>
      </c>
      <c r="E140" s="150" t="s">
        <v>280</v>
      </c>
      <c r="F140" s="150" t="s">
        <v>511</v>
      </c>
      <c r="G140" s="150" t="s">
        <v>512</v>
      </c>
      <c r="H140" s="12">
        <v>8400</v>
      </c>
      <c r="I140" s="12">
        <v>8400</v>
      </c>
      <c r="J140" s="12"/>
      <c r="K140" s="12"/>
      <c r="L140" s="12">
        <v>8400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ht="18.75" customHeight="1">
      <c r="A141" s="151"/>
      <c r="B141" s="150" t="s">
        <v>529</v>
      </c>
      <c r="C141" s="150" t="s">
        <v>530</v>
      </c>
      <c r="D141" s="150" t="s">
        <v>346</v>
      </c>
      <c r="E141" s="150" t="s">
        <v>347</v>
      </c>
      <c r="F141" s="150" t="s">
        <v>511</v>
      </c>
      <c r="G141" s="150" t="s">
        <v>512</v>
      </c>
      <c r="H141" s="12">
        <v>28080</v>
      </c>
      <c r="I141" s="12">
        <v>28080</v>
      </c>
      <c r="J141" s="12"/>
      <c r="K141" s="12"/>
      <c r="L141" s="12">
        <v>28080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ht="18.75" customHeight="1">
      <c r="A142" s="151"/>
      <c r="B142" s="150" t="s">
        <v>531</v>
      </c>
      <c r="C142" s="150" t="s">
        <v>532</v>
      </c>
      <c r="D142" s="150" t="s">
        <v>285</v>
      </c>
      <c r="E142" s="150" t="s">
        <v>280</v>
      </c>
      <c r="F142" s="150" t="s">
        <v>511</v>
      </c>
      <c r="G142" s="150" t="s">
        <v>512</v>
      </c>
      <c r="H142" s="12">
        <v>96000</v>
      </c>
      <c r="I142" s="12">
        <v>96000</v>
      </c>
      <c r="J142" s="12"/>
      <c r="K142" s="12"/>
      <c r="L142" s="12">
        <v>96000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ht="18.75" customHeight="1">
      <c r="A143" s="151"/>
      <c r="B143" s="150" t="s">
        <v>533</v>
      </c>
      <c r="C143" s="150" t="s">
        <v>534</v>
      </c>
      <c r="D143" s="150" t="s">
        <v>285</v>
      </c>
      <c r="E143" s="150" t="s">
        <v>280</v>
      </c>
      <c r="F143" s="150" t="s">
        <v>511</v>
      </c>
      <c r="G143" s="150" t="s">
        <v>512</v>
      </c>
      <c r="H143" s="12">
        <v>159600</v>
      </c>
      <c r="I143" s="12">
        <v>159600</v>
      </c>
      <c r="J143" s="12"/>
      <c r="K143" s="12"/>
      <c r="L143" s="12">
        <v>159600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ht="18.75" customHeight="1">
      <c r="A144" s="151"/>
      <c r="B144" s="150" t="s">
        <v>535</v>
      </c>
      <c r="C144" s="150" t="s">
        <v>536</v>
      </c>
      <c r="D144" s="150" t="s">
        <v>285</v>
      </c>
      <c r="E144" s="150" t="s">
        <v>280</v>
      </c>
      <c r="F144" s="150" t="s">
        <v>511</v>
      </c>
      <c r="G144" s="150" t="s">
        <v>512</v>
      </c>
      <c r="H144" s="12">
        <v>264000</v>
      </c>
      <c r="I144" s="12">
        <v>264000</v>
      </c>
      <c r="J144" s="12"/>
      <c r="K144" s="12"/>
      <c r="L144" s="12">
        <v>264000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ht="18.75" customHeight="1">
      <c r="A145" s="151"/>
      <c r="B145" s="150" t="s">
        <v>537</v>
      </c>
      <c r="C145" s="150" t="s">
        <v>538</v>
      </c>
      <c r="D145" s="150" t="s">
        <v>285</v>
      </c>
      <c r="E145" s="150" t="s">
        <v>280</v>
      </c>
      <c r="F145" s="150" t="s">
        <v>511</v>
      </c>
      <c r="G145" s="150" t="s">
        <v>512</v>
      </c>
      <c r="H145" s="12">
        <v>320400</v>
      </c>
      <c r="I145" s="12">
        <v>320400</v>
      </c>
      <c r="J145" s="12"/>
      <c r="K145" s="12"/>
      <c r="L145" s="12">
        <v>320400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ht="18.75" customHeight="1">
      <c r="A146" s="151"/>
      <c r="B146" s="150" t="s">
        <v>539</v>
      </c>
      <c r="C146" s="150" t="s">
        <v>540</v>
      </c>
      <c r="D146" s="150" t="s">
        <v>285</v>
      </c>
      <c r="E146" s="150" t="s">
        <v>280</v>
      </c>
      <c r="F146" s="150" t="s">
        <v>511</v>
      </c>
      <c r="G146" s="150" t="s">
        <v>512</v>
      </c>
      <c r="H146" s="12">
        <v>199200</v>
      </c>
      <c r="I146" s="12">
        <v>199200</v>
      </c>
      <c r="J146" s="12"/>
      <c r="K146" s="12"/>
      <c r="L146" s="12">
        <v>199200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ht="18.75" customHeight="1">
      <c r="A147" s="151"/>
      <c r="B147" s="150" t="s">
        <v>541</v>
      </c>
      <c r="C147" s="150" t="s">
        <v>542</v>
      </c>
      <c r="D147" s="150" t="s">
        <v>285</v>
      </c>
      <c r="E147" s="150" t="s">
        <v>280</v>
      </c>
      <c r="F147" s="150" t="s">
        <v>511</v>
      </c>
      <c r="G147" s="150" t="s">
        <v>512</v>
      </c>
      <c r="H147" s="12">
        <v>1200</v>
      </c>
      <c r="I147" s="12">
        <v>1200</v>
      </c>
      <c r="J147" s="12"/>
      <c r="K147" s="12"/>
      <c r="L147" s="12">
        <v>1200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ht="18.75" customHeight="1">
      <c r="A148" s="151"/>
      <c r="B148" s="150" t="s">
        <v>543</v>
      </c>
      <c r="C148" s="150" t="s">
        <v>544</v>
      </c>
      <c r="D148" s="150" t="s">
        <v>285</v>
      </c>
      <c r="E148" s="150" t="s">
        <v>280</v>
      </c>
      <c r="F148" s="150" t="s">
        <v>511</v>
      </c>
      <c r="G148" s="150" t="s">
        <v>512</v>
      </c>
      <c r="H148" s="12">
        <v>1200</v>
      </c>
      <c r="I148" s="12">
        <v>1200</v>
      </c>
      <c r="J148" s="12"/>
      <c r="K148" s="12"/>
      <c r="L148" s="12">
        <v>1200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ht="18.75" customHeight="1">
      <c r="A149" s="151"/>
      <c r="B149" s="150" t="s">
        <v>545</v>
      </c>
      <c r="C149" s="150" t="s">
        <v>546</v>
      </c>
      <c r="D149" s="150" t="s">
        <v>285</v>
      </c>
      <c r="E149" s="150" t="s">
        <v>280</v>
      </c>
      <c r="F149" s="150" t="s">
        <v>511</v>
      </c>
      <c r="G149" s="150" t="s">
        <v>512</v>
      </c>
      <c r="H149" s="12">
        <v>150381.6</v>
      </c>
      <c r="I149" s="12">
        <v>150381.6</v>
      </c>
      <c r="J149" s="12"/>
      <c r="K149" s="12"/>
      <c r="L149" s="12">
        <v>150381.6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ht="18.75" customHeight="1">
      <c r="A150" s="151"/>
      <c r="B150" s="150" t="s">
        <v>545</v>
      </c>
      <c r="C150" s="150" t="s">
        <v>546</v>
      </c>
      <c r="D150" s="150" t="s">
        <v>285</v>
      </c>
      <c r="E150" s="150" t="s">
        <v>280</v>
      </c>
      <c r="F150" s="150" t="s">
        <v>511</v>
      </c>
      <c r="G150" s="150" t="s">
        <v>512</v>
      </c>
      <c r="H150" s="12">
        <v>203984.4</v>
      </c>
      <c r="I150" s="12">
        <v>203984.4</v>
      </c>
      <c r="J150" s="12"/>
      <c r="K150" s="12"/>
      <c r="L150" s="12">
        <v>203984.4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ht="18.75" customHeight="1">
      <c r="A151" s="151"/>
      <c r="B151" s="150" t="s">
        <v>547</v>
      </c>
      <c r="C151" s="150" t="s">
        <v>548</v>
      </c>
      <c r="D151" s="150" t="s">
        <v>285</v>
      </c>
      <c r="E151" s="150" t="s">
        <v>280</v>
      </c>
      <c r="F151" s="150" t="s">
        <v>511</v>
      </c>
      <c r="G151" s="150" t="s">
        <v>512</v>
      </c>
      <c r="H151" s="12">
        <v>22811.04</v>
      </c>
      <c r="I151" s="12">
        <v>22811.04</v>
      </c>
      <c r="J151" s="12"/>
      <c r="K151" s="12"/>
      <c r="L151" s="12">
        <v>22811.04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ht="18.75" customHeight="1">
      <c r="A152" s="151"/>
      <c r="B152" s="150" t="s">
        <v>547</v>
      </c>
      <c r="C152" s="150" t="s">
        <v>548</v>
      </c>
      <c r="D152" s="150" t="s">
        <v>285</v>
      </c>
      <c r="E152" s="150" t="s">
        <v>280</v>
      </c>
      <c r="F152" s="150" t="s">
        <v>511</v>
      </c>
      <c r="G152" s="150" t="s">
        <v>512</v>
      </c>
      <c r="H152" s="12">
        <v>35953.2</v>
      </c>
      <c r="I152" s="12">
        <v>35953.2</v>
      </c>
      <c r="J152" s="12"/>
      <c r="K152" s="12"/>
      <c r="L152" s="12">
        <v>35953.2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ht="18.75" customHeight="1">
      <c r="A153" s="151"/>
      <c r="B153" s="150" t="s">
        <v>549</v>
      </c>
      <c r="C153" s="150" t="s">
        <v>550</v>
      </c>
      <c r="D153" s="150" t="s">
        <v>302</v>
      </c>
      <c r="E153" s="150" t="s">
        <v>280</v>
      </c>
      <c r="F153" s="150" t="s">
        <v>511</v>
      </c>
      <c r="G153" s="150" t="s">
        <v>512</v>
      </c>
      <c r="H153" s="12">
        <v>12000</v>
      </c>
      <c r="I153" s="12">
        <v>12000</v>
      </c>
      <c r="J153" s="12"/>
      <c r="K153" s="12"/>
      <c r="L153" s="12">
        <v>12000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ht="18.75" customHeight="1">
      <c r="A154" s="151"/>
      <c r="B154" s="150" t="s">
        <v>551</v>
      </c>
      <c r="C154" s="150" t="s">
        <v>552</v>
      </c>
      <c r="D154" s="150" t="s">
        <v>346</v>
      </c>
      <c r="E154" s="150" t="s">
        <v>347</v>
      </c>
      <c r="F154" s="150" t="s">
        <v>511</v>
      </c>
      <c r="G154" s="150" t="s">
        <v>512</v>
      </c>
      <c r="H154" s="12">
        <v>32040</v>
      </c>
      <c r="I154" s="12">
        <v>32040</v>
      </c>
      <c r="J154" s="12"/>
      <c r="K154" s="12"/>
      <c r="L154" s="12">
        <v>32040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ht="18.75" customHeight="1">
      <c r="A155" s="151"/>
      <c r="B155" s="150" t="s">
        <v>553</v>
      </c>
      <c r="C155" s="150" t="s">
        <v>554</v>
      </c>
      <c r="D155" s="150" t="s">
        <v>285</v>
      </c>
      <c r="E155" s="150" t="s">
        <v>280</v>
      </c>
      <c r="F155" s="150" t="s">
        <v>511</v>
      </c>
      <c r="G155" s="150" t="s">
        <v>512</v>
      </c>
      <c r="H155" s="12">
        <v>127179.36</v>
      </c>
      <c r="I155" s="12">
        <v>127179.36</v>
      </c>
      <c r="J155" s="12"/>
      <c r="K155" s="12"/>
      <c r="L155" s="12">
        <v>127179.36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ht="18.75" customHeight="1">
      <c r="A156" s="151"/>
      <c r="B156" s="150" t="s">
        <v>555</v>
      </c>
      <c r="C156" s="150" t="s">
        <v>556</v>
      </c>
      <c r="D156" s="150" t="s">
        <v>285</v>
      </c>
      <c r="E156" s="150" t="s">
        <v>280</v>
      </c>
      <c r="F156" s="150" t="s">
        <v>511</v>
      </c>
      <c r="G156" s="150" t="s">
        <v>512</v>
      </c>
      <c r="H156" s="12">
        <v>106243.2</v>
      </c>
      <c r="I156" s="12">
        <v>106243.2</v>
      </c>
      <c r="J156" s="12"/>
      <c r="K156" s="12"/>
      <c r="L156" s="12">
        <v>106243.2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ht="18.75" customHeight="1">
      <c r="A157" s="151"/>
      <c r="B157" s="150" t="s">
        <v>557</v>
      </c>
      <c r="C157" s="150" t="s">
        <v>558</v>
      </c>
      <c r="D157" s="150" t="s">
        <v>285</v>
      </c>
      <c r="E157" s="150" t="s">
        <v>280</v>
      </c>
      <c r="F157" s="150" t="s">
        <v>511</v>
      </c>
      <c r="G157" s="150" t="s">
        <v>512</v>
      </c>
      <c r="H157" s="12">
        <v>208736.64</v>
      </c>
      <c r="I157" s="12">
        <v>208736.64</v>
      </c>
      <c r="J157" s="12"/>
      <c r="K157" s="12"/>
      <c r="L157" s="12">
        <v>208736.64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ht="18.75" customHeight="1">
      <c r="A158" s="151"/>
      <c r="B158" s="150" t="s">
        <v>559</v>
      </c>
      <c r="C158" s="150" t="s">
        <v>560</v>
      </c>
      <c r="D158" s="150" t="s">
        <v>285</v>
      </c>
      <c r="E158" s="150" t="s">
        <v>280</v>
      </c>
      <c r="F158" s="150" t="s">
        <v>511</v>
      </c>
      <c r="G158" s="150" t="s">
        <v>512</v>
      </c>
      <c r="H158" s="12">
        <v>5088</v>
      </c>
      <c r="I158" s="12">
        <v>5088</v>
      </c>
      <c r="J158" s="12"/>
      <c r="K158" s="12"/>
      <c r="L158" s="12">
        <v>5088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ht="18.75" customHeight="1">
      <c r="A159" s="151"/>
      <c r="B159" s="150" t="s">
        <v>561</v>
      </c>
      <c r="C159" s="150" t="s">
        <v>562</v>
      </c>
      <c r="D159" s="150" t="s">
        <v>285</v>
      </c>
      <c r="E159" s="150" t="s">
        <v>280</v>
      </c>
      <c r="F159" s="150" t="s">
        <v>511</v>
      </c>
      <c r="G159" s="150" t="s">
        <v>512</v>
      </c>
      <c r="H159" s="12">
        <v>165312</v>
      </c>
      <c r="I159" s="12">
        <v>165312</v>
      </c>
      <c r="J159" s="12"/>
      <c r="K159" s="12"/>
      <c r="L159" s="12">
        <v>165312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ht="18.75" customHeight="1">
      <c r="A160" s="151"/>
      <c r="B160" s="150" t="s">
        <v>563</v>
      </c>
      <c r="C160" s="150" t="s">
        <v>564</v>
      </c>
      <c r="D160" s="150" t="s">
        <v>285</v>
      </c>
      <c r="E160" s="150" t="s">
        <v>280</v>
      </c>
      <c r="F160" s="150" t="s">
        <v>511</v>
      </c>
      <c r="G160" s="150" t="s">
        <v>512</v>
      </c>
      <c r="H160" s="12">
        <v>5088</v>
      </c>
      <c r="I160" s="12">
        <v>5088</v>
      </c>
      <c r="J160" s="12"/>
      <c r="K160" s="12"/>
      <c r="L160" s="12">
        <v>5088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ht="18.75" customHeight="1">
      <c r="A161" s="151"/>
      <c r="B161" s="150" t="s">
        <v>565</v>
      </c>
      <c r="C161" s="150" t="s">
        <v>566</v>
      </c>
      <c r="D161" s="150" t="s">
        <v>299</v>
      </c>
      <c r="E161" s="150" t="s">
        <v>280</v>
      </c>
      <c r="F161" s="150" t="s">
        <v>511</v>
      </c>
      <c r="G161" s="150" t="s">
        <v>512</v>
      </c>
      <c r="H161" s="12">
        <v>10800</v>
      </c>
      <c r="I161" s="12">
        <v>10800</v>
      </c>
      <c r="J161" s="12"/>
      <c r="K161" s="12"/>
      <c r="L161" s="12">
        <v>10800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ht="18.75" customHeight="1">
      <c r="A162" s="151"/>
      <c r="B162" s="150" t="s">
        <v>567</v>
      </c>
      <c r="C162" s="150" t="s">
        <v>568</v>
      </c>
      <c r="D162" s="150" t="s">
        <v>285</v>
      </c>
      <c r="E162" s="150" t="s">
        <v>280</v>
      </c>
      <c r="F162" s="150" t="s">
        <v>511</v>
      </c>
      <c r="G162" s="150" t="s">
        <v>512</v>
      </c>
      <c r="H162" s="12">
        <v>8999.64</v>
      </c>
      <c r="I162" s="12">
        <v>8999.64</v>
      </c>
      <c r="J162" s="12"/>
      <c r="K162" s="12"/>
      <c r="L162" s="12">
        <v>8999.64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ht="18.75" customHeight="1">
      <c r="A163" s="151"/>
      <c r="B163" s="150" t="s">
        <v>569</v>
      </c>
      <c r="C163" s="150" t="s">
        <v>570</v>
      </c>
      <c r="D163" s="150" t="s">
        <v>366</v>
      </c>
      <c r="E163" s="150" t="s">
        <v>365</v>
      </c>
      <c r="F163" s="150" t="s">
        <v>511</v>
      </c>
      <c r="G163" s="150" t="s">
        <v>512</v>
      </c>
      <c r="H163" s="12">
        <v>42480</v>
      </c>
      <c r="I163" s="12">
        <v>42480</v>
      </c>
      <c r="J163" s="12"/>
      <c r="K163" s="12"/>
      <c r="L163" s="12">
        <v>42480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ht="18.75" customHeight="1">
      <c r="A164" s="151"/>
      <c r="B164" s="150" t="s">
        <v>571</v>
      </c>
      <c r="C164" s="150" t="s">
        <v>572</v>
      </c>
      <c r="D164" s="150" t="s">
        <v>387</v>
      </c>
      <c r="E164" s="150" t="s">
        <v>280</v>
      </c>
      <c r="F164" s="150" t="s">
        <v>511</v>
      </c>
      <c r="G164" s="150" t="s">
        <v>512</v>
      </c>
      <c r="H164" s="12">
        <v>2400</v>
      </c>
      <c r="I164" s="12">
        <v>2400</v>
      </c>
      <c r="J164" s="12"/>
      <c r="K164" s="12"/>
      <c r="L164" s="12">
        <v>2400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ht="18.75" customHeight="1">
      <c r="A165" s="151"/>
      <c r="B165" s="150" t="s">
        <v>573</v>
      </c>
      <c r="C165" s="150" t="s">
        <v>574</v>
      </c>
      <c r="D165" s="150" t="s">
        <v>334</v>
      </c>
      <c r="E165" s="150" t="s">
        <v>335</v>
      </c>
      <c r="F165" s="150" t="s">
        <v>511</v>
      </c>
      <c r="G165" s="150" t="s">
        <v>512</v>
      </c>
      <c r="H165" s="12">
        <v>61734.24</v>
      </c>
      <c r="I165" s="12">
        <v>61734.24</v>
      </c>
      <c r="J165" s="12"/>
      <c r="K165" s="12"/>
      <c r="L165" s="12">
        <v>61734.24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ht="18.75" customHeight="1">
      <c r="A166" s="151"/>
      <c r="B166" s="150" t="s">
        <v>448</v>
      </c>
      <c r="C166" s="150" t="s">
        <v>449</v>
      </c>
      <c r="D166" s="150" t="s">
        <v>350</v>
      </c>
      <c r="E166" s="150" t="s">
        <v>351</v>
      </c>
      <c r="F166" s="150" t="s">
        <v>575</v>
      </c>
      <c r="G166" s="150" t="s">
        <v>576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ht="18.75" customHeight="1">
      <c r="A167" s="151"/>
      <c r="B167" s="150" t="s">
        <v>577</v>
      </c>
      <c r="C167" s="150" t="s">
        <v>578</v>
      </c>
      <c r="D167" s="150" t="s">
        <v>370</v>
      </c>
      <c r="E167" s="150" t="s">
        <v>306</v>
      </c>
      <c r="F167" s="150" t="s">
        <v>430</v>
      </c>
      <c r="G167" s="150" t="s">
        <v>431</v>
      </c>
      <c r="H167" s="12">
        <v>66302</v>
      </c>
      <c r="I167" s="12">
        <v>66302</v>
      </c>
      <c r="J167" s="12"/>
      <c r="K167" s="12"/>
      <c r="L167" s="12">
        <v>66302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ht="18.75" customHeight="1">
      <c r="A168" s="152" t="s">
        <v>59</v>
      </c>
      <c r="B168" s="152"/>
      <c r="C168" s="152"/>
      <c r="D168" s="152"/>
      <c r="E168" s="152"/>
      <c r="F168" s="152"/>
      <c r="G168" s="152"/>
      <c r="H168" s="12">
        <v>16481497.05</v>
      </c>
      <c r="I168" s="12">
        <v>16481497.05</v>
      </c>
      <c r="J168" s="12"/>
      <c r="K168" s="12"/>
      <c r="L168" s="12">
        <v>16481497.05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</sheetData>
  <mergeCells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168:G168"/>
    <mergeCell ref="I6:I7"/>
  </mergeCells>
  <extLst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F4E0B4-DD57-4029-1465-6534088D11B2}" mc:Ignorable="x14ac xr xr2 xr3">
  <sheetPr>
    <outlinePr summaryBelow="0" summaryRight="0"/>
  </sheetPr>
  <dimension ref="A1:W33"/>
  <sheetViews>
    <sheetView showZeros="0" topLeftCell="K1" workbookViewId="0" tabSelected="1">
      <selection activeCell="A1" sqref="A1"/>
    </sheetView>
  </sheetViews>
  <sheetFormatPr defaultRowHeight="14.25" defaultColWidth="9.140625" customHeight="1"/>
  <cols>
    <col min="1" max="1" width="12.421875" customWidth="1"/>
    <col min="2" max="2" width="33.73046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r="1" ht="13.5" customHeight="1">
      <c r="B1" s="107"/>
      <c r="E1" s="153"/>
      <c r="F1" s="153"/>
      <c r="G1" s="153"/>
      <c r="H1" s="153"/>
      <c r="I1" s="57"/>
      <c r="J1" s="57"/>
      <c r="K1" s="57"/>
      <c r="L1" s="57"/>
      <c r="M1" s="57"/>
      <c r="N1" s="57"/>
      <c r="O1" s="57"/>
      <c r="P1" s="57"/>
      <c r="Q1" s="57"/>
      <c r="U1" s="107"/>
      <c r="W1" s="1" t="s">
        <v>579</v>
      </c>
    </row>
    <row r="2" ht="41.25" customHeight="1">
      <c r="A2" s="2" t="str">
        <f>"2025"&amp;"年部门项目支出预算表"</f>
        <v>2025年部门项目支出预算表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ht="18.75" customHeight="1">
      <c r="A3" s="75" t="str">
        <f>"单位名称："&amp;"耿马傣族佤族自治县勐永镇"</f>
        <v>单位名称：耿马傣族佤族自治县勐永镇</v>
      </c>
      <c r="B3" s="154"/>
      <c r="C3" s="154"/>
      <c r="D3" s="154"/>
      <c r="E3" s="154"/>
      <c r="F3" s="154"/>
      <c r="G3" s="154"/>
      <c r="H3" s="154"/>
      <c r="I3" s="138"/>
      <c r="J3" s="138"/>
      <c r="K3" s="138"/>
      <c r="L3" s="138"/>
      <c r="M3" s="138"/>
      <c r="N3" s="138"/>
      <c r="O3" s="138"/>
      <c r="P3" s="138"/>
      <c r="Q3" s="138"/>
      <c r="U3" s="107"/>
      <c r="W3" s="1" t="s">
        <v>394</v>
      </c>
    </row>
    <row r="4" ht="18.75" customHeight="1">
      <c r="A4" s="59" t="s">
        <v>581</v>
      </c>
      <c r="B4" s="155" t="s">
        <v>407</v>
      </c>
      <c r="C4" s="59" t="s">
        <v>408</v>
      </c>
      <c r="D4" s="59" t="s">
        <v>582</v>
      </c>
      <c r="E4" s="155" t="s">
        <v>409</v>
      </c>
      <c r="F4" s="155" t="s">
        <v>410</v>
      </c>
      <c r="G4" s="155" t="s">
        <v>583</v>
      </c>
      <c r="H4" s="155" t="s">
        <v>584</v>
      </c>
      <c r="I4" s="8" t="s">
        <v>59</v>
      </c>
      <c r="J4" s="6" t="s">
        <v>585</v>
      </c>
      <c r="K4" s="62"/>
      <c r="L4" s="62"/>
      <c r="M4" s="7"/>
      <c r="N4" s="6" t="s">
        <v>415</v>
      </c>
      <c r="O4" s="62"/>
      <c r="P4" s="7"/>
      <c r="Q4" s="155" t="s">
        <v>65</v>
      </c>
      <c r="R4" s="6" t="s">
        <v>82</v>
      </c>
      <c r="S4" s="62"/>
      <c r="T4" s="62"/>
      <c r="U4" s="62"/>
      <c r="V4" s="62"/>
      <c r="W4" s="7"/>
    </row>
    <row r="5" ht="18.75" customHeight="1">
      <c r="A5" s="141"/>
      <c r="B5" s="143"/>
      <c r="C5" s="141"/>
      <c r="D5" s="141"/>
      <c r="E5" s="156"/>
      <c r="F5" s="156"/>
      <c r="G5" s="156"/>
      <c r="H5" s="156"/>
      <c r="I5" s="143"/>
      <c r="J5" s="157" t="s">
        <v>62</v>
      </c>
      <c r="K5" s="94"/>
      <c r="L5" s="155" t="s">
        <v>63</v>
      </c>
      <c r="M5" s="155" t="s">
        <v>64</v>
      </c>
      <c r="N5" s="155" t="s">
        <v>62</v>
      </c>
      <c r="O5" s="155" t="s">
        <v>63</v>
      </c>
      <c r="P5" s="155" t="s">
        <v>64</v>
      </c>
      <c r="Q5" s="156"/>
      <c r="R5" s="155" t="s">
        <v>61</v>
      </c>
      <c r="S5" s="59" t="s">
        <v>68</v>
      </c>
      <c r="T5" s="59" t="s">
        <v>421</v>
      </c>
      <c r="U5" s="59" t="s">
        <v>70</v>
      </c>
      <c r="V5" s="59" t="s">
        <v>71</v>
      </c>
      <c r="W5" s="59" t="s">
        <v>72</v>
      </c>
    </row>
    <row r="6" ht="18.75" customHeight="1">
      <c r="A6" s="143"/>
      <c r="B6" s="143"/>
      <c r="C6" s="143"/>
      <c r="D6" s="143"/>
      <c r="E6" s="143"/>
      <c r="F6" s="143"/>
      <c r="G6" s="143"/>
      <c r="H6" s="143"/>
      <c r="I6" s="143"/>
      <c r="J6" s="158" t="s">
        <v>61</v>
      </c>
      <c r="K6" s="96"/>
      <c r="L6" s="143"/>
      <c r="M6" s="143"/>
      <c r="N6" s="143"/>
      <c r="O6" s="143"/>
      <c r="P6" s="143"/>
      <c r="Q6" s="143"/>
      <c r="R6" s="143"/>
      <c r="S6" s="142"/>
      <c r="T6" s="142"/>
      <c r="U6" s="142"/>
      <c r="V6" s="142"/>
      <c r="W6" s="142"/>
    </row>
    <row r="7" ht="18.75" customHeight="1">
      <c r="A7" s="146"/>
      <c r="B7" s="10"/>
      <c r="C7" s="146"/>
      <c r="D7" s="146"/>
      <c r="E7" s="63"/>
      <c r="F7" s="63"/>
      <c r="G7" s="63"/>
      <c r="H7" s="63"/>
      <c r="I7" s="10"/>
      <c r="J7" s="66" t="s">
        <v>61</v>
      </c>
      <c r="K7" s="66" t="s">
        <v>586</v>
      </c>
      <c r="L7" s="63"/>
      <c r="M7" s="63"/>
      <c r="N7" s="63"/>
      <c r="O7" s="63"/>
      <c r="P7" s="63"/>
      <c r="Q7" s="63"/>
      <c r="R7" s="63"/>
      <c r="S7" s="63"/>
      <c r="T7" s="63"/>
      <c r="U7" s="10"/>
      <c r="V7" s="63"/>
      <c r="W7" s="63"/>
    </row>
    <row r="8" ht="18.75" customHeight="1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</row>
    <row r="9" ht="18.75" customHeight="1">
      <c r="A9" s="150"/>
      <c r="B9" s="150"/>
      <c r="C9" s="150" t="s">
        <v>587</v>
      </c>
      <c r="D9" s="150"/>
      <c r="E9" s="150"/>
      <c r="F9" s="150"/>
      <c r="G9" s="150"/>
      <c r="H9" s="150"/>
      <c r="I9" s="12">
        <v>30000</v>
      </c>
      <c r="J9" s="12">
        <v>30000</v>
      </c>
      <c r="K9" s="12">
        <v>30000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18.75" customHeight="1">
      <c r="A10" s="160" t="s">
        <v>588</v>
      </c>
      <c r="B10" s="160" t="s">
        <v>589</v>
      </c>
      <c r="C10" s="160" t="s">
        <v>587</v>
      </c>
      <c r="D10" s="160" t="s">
        <v>74</v>
      </c>
      <c r="E10" s="160" t="s">
        <v>371</v>
      </c>
      <c r="F10" s="160" t="s">
        <v>372</v>
      </c>
      <c r="G10" s="160" t="s">
        <v>590</v>
      </c>
      <c r="H10" s="160" t="s">
        <v>591</v>
      </c>
      <c r="I10" s="12">
        <v>30000</v>
      </c>
      <c r="J10" s="12">
        <v>30000</v>
      </c>
      <c r="K10" s="12">
        <v>30000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18.75" customHeight="1">
      <c r="A11" s="151"/>
      <c r="B11" s="151"/>
      <c r="C11" s="150" t="s">
        <v>592</v>
      </c>
      <c r="D11" s="151"/>
      <c r="E11" s="151"/>
      <c r="F11" s="151"/>
      <c r="G11" s="151"/>
      <c r="H11" s="151"/>
      <c r="I11" s="12">
        <v>100000</v>
      </c>
      <c r="J11" s="12">
        <v>100000</v>
      </c>
      <c r="K11" s="12">
        <v>100000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18.75" customHeight="1">
      <c r="A12" s="160" t="s">
        <v>588</v>
      </c>
      <c r="B12" s="160" t="s">
        <v>593</v>
      </c>
      <c r="C12" s="160" t="s">
        <v>592</v>
      </c>
      <c r="D12" s="160" t="s">
        <v>74</v>
      </c>
      <c r="E12" s="160" t="s">
        <v>377</v>
      </c>
      <c r="F12" s="160" t="s">
        <v>378</v>
      </c>
      <c r="G12" s="160" t="s">
        <v>590</v>
      </c>
      <c r="H12" s="160" t="s">
        <v>591</v>
      </c>
      <c r="I12" s="12">
        <v>100000</v>
      </c>
      <c r="J12" s="12">
        <v>100000</v>
      </c>
      <c r="K12" s="12">
        <v>100000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ht="18.75" customHeight="1">
      <c r="A13" s="151"/>
      <c r="B13" s="151"/>
      <c r="C13" s="150" t="s">
        <v>594</v>
      </c>
      <c r="D13" s="151"/>
      <c r="E13" s="151"/>
      <c r="F13" s="151"/>
      <c r="G13" s="151"/>
      <c r="H13" s="151"/>
      <c r="I13" s="12">
        <v>60000</v>
      </c>
      <c r="J13" s="12">
        <v>60000</v>
      </c>
      <c r="K13" s="12">
        <v>60000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18.75" customHeight="1">
      <c r="A14" s="160" t="s">
        <v>595</v>
      </c>
      <c r="B14" s="160" t="s">
        <v>596</v>
      </c>
      <c r="C14" s="160" t="s">
        <v>594</v>
      </c>
      <c r="D14" s="160" t="s">
        <v>74</v>
      </c>
      <c r="E14" s="160" t="s">
        <v>377</v>
      </c>
      <c r="F14" s="160" t="s">
        <v>378</v>
      </c>
      <c r="G14" s="160" t="s">
        <v>590</v>
      </c>
      <c r="H14" s="160" t="s">
        <v>591</v>
      </c>
      <c r="I14" s="12">
        <v>60000</v>
      </c>
      <c r="J14" s="12">
        <v>60000</v>
      </c>
      <c r="K14" s="12">
        <v>60000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ht="18.75" customHeight="1">
      <c r="A15" s="151"/>
      <c r="B15" s="151"/>
      <c r="C15" s="150" t="s">
        <v>597</v>
      </c>
      <c r="D15" s="151"/>
      <c r="E15" s="151"/>
      <c r="F15" s="151"/>
      <c r="G15" s="151"/>
      <c r="H15" s="151"/>
      <c r="I15" s="12">
        <v>40000</v>
      </c>
      <c r="J15" s="12">
        <v>40000</v>
      </c>
      <c r="K15" s="12">
        <v>40000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ht="18.75" customHeight="1">
      <c r="A16" s="160" t="s">
        <v>595</v>
      </c>
      <c r="B16" s="160" t="s">
        <v>598</v>
      </c>
      <c r="C16" s="160" t="s">
        <v>597</v>
      </c>
      <c r="D16" s="160" t="s">
        <v>74</v>
      </c>
      <c r="E16" s="160" t="s">
        <v>379</v>
      </c>
      <c r="F16" s="160" t="s">
        <v>380</v>
      </c>
      <c r="G16" s="160" t="s">
        <v>590</v>
      </c>
      <c r="H16" s="160" t="s">
        <v>591</v>
      </c>
      <c r="I16" s="12">
        <v>40000</v>
      </c>
      <c r="J16" s="12">
        <v>40000</v>
      </c>
      <c r="K16" s="12">
        <v>40000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ht="18.75" customHeight="1">
      <c r="A17" s="151"/>
      <c r="B17" s="151"/>
      <c r="C17" s="150" t="s">
        <v>599</v>
      </c>
      <c r="D17" s="151"/>
      <c r="E17" s="151"/>
      <c r="F17" s="151"/>
      <c r="G17" s="151"/>
      <c r="H17" s="151"/>
      <c r="I17" s="12">
        <v>40000</v>
      </c>
      <c r="J17" s="12">
        <v>40000</v>
      </c>
      <c r="K17" s="12">
        <v>40000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ht="18.75" customHeight="1">
      <c r="A18" s="160" t="s">
        <v>588</v>
      </c>
      <c r="B18" s="160" t="s">
        <v>600</v>
      </c>
      <c r="C18" s="160" t="s">
        <v>599</v>
      </c>
      <c r="D18" s="160" t="s">
        <v>74</v>
      </c>
      <c r="E18" s="160" t="s">
        <v>373</v>
      </c>
      <c r="F18" s="160" t="s">
        <v>374</v>
      </c>
      <c r="G18" s="160" t="s">
        <v>590</v>
      </c>
      <c r="H18" s="160" t="s">
        <v>591</v>
      </c>
      <c r="I18" s="12">
        <v>40000</v>
      </c>
      <c r="J18" s="12">
        <v>40000</v>
      </c>
      <c r="K18" s="12">
        <v>40000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ht="18.75" customHeight="1">
      <c r="A19" s="151"/>
      <c r="B19" s="151"/>
      <c r="C19" s="150" t="s">
        <v>601</v>
      </c>
      <c r="D19" s="151"/>
      <c r="E19" s="151"/>
      <c r="F19" s="151"/>
      <c r="G19" s="151"/>
      <c r="H19" s="151"/>
      <c r="I19" s="12">
        <v>31500</v>
      </c>
      <c r="J19" s="12">
        <v>31500</v>
      </c>
      <c r="K19" s="12">
        <v>31500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ht="18.75" customHeight="1">
      <c r="A20" s="160" t="s">
        <v>588</v>
      </c>
      <c r="B20" s="160" t="s">
        <v>602</v>
      </c>
      <c r="C20" s="160" t="s">
        <v>601</v>
      </c>
      <c r="D20" s="160" t="s">
        <v>74</v>
      </c>
      <c r="E20" s="160" t="s">
        <v>287</v>
      </c>
      <c r="F20" s="160" t="s">
        <v>288</v>
      </c>
      <c r="G20" s="160" t="s">
        <v>511</v>
      </c>
      <c r="H20" s="160" t="s">
        <v>512</v>
      </c>
      <c r="I20" s="12">
        <v>31500</v>
      </c>
      <c r="J20" s="12">
        <v>31500</v>
      </c>
      <c r="K20" s="12">
        <v>31500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ht="18.75" customHeight="1">
      <c r="A21" s="151"/>
      <c r="B21" s="151"/>
      <c r="C21" s="150" t="s">
        <v>603</v>
      </c>
      <c r="D21" s="151"/>
      <c r="E21" s="151"/>
      <c r="F21" s="151"/>
      <c r="G21" s="151"/>
      <c r="H21" s="151"/>
      <c r="I21" s="12">
        <v>10000</v>
      </c>
      <c r="J21" s="12">
        <v>10000</v>
      </c>
      <c r="K21" s="12">
        <v>10000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ht="18.75" customHeight="1">
      <c r="A22" s="160" t="s">
        <v>595</v>
      </c>
      <c r="B22" s="160" t="s">
        <v>604</v>
      </c>
      <c r="C22" s="160" t="s">
        <v>603</v>
      </c>
      <c r="D22" s="160" t="s">
        <v>74</v>
      </c>
      <c r="E22" s="160" t="s">
        <v>295</v>
      </c>
      <c r="F22" s="160" t="s">
        <v>296</v>
      </c>
      <c r="G22" s="160" t="s">
        <v>468</v>
      </c>
      <c r="H22" s="160" t="s">
        <v>469</v>
      </c>
      <c r="I22" s="12">
        <v>10000</v>
      </c>
      <c r="J22" s="12">
        <v>10000</v>
      </c>
      <c r="K22" s="12">
        <v>10000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ht="18.75" customHeight="1">
      <c r="A23" s="151"/>
      <c r="B23" s="151"/>
      <c r="C23" s="150" t="s">
        <v>605</v>
      </c>
      <c r="D23" s="151"/>
      <c r="E23" s="151"/>
      <c r="F23" s="151"/>
      <c r="G23" s="151"/>
      <c r="H23" s="151"/>
      <c r="I23" s="12">
        <v>3000</v>
      </c>
      <c r="J23" s="12">
        <v>3000</v>
      </c>
      <c r="K23" s="12">
        <v>3000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ht="18.75" customHeight="1">
      <c r="A24" s="160" t="s">
        <v>595</v>
      </c>
      <c r="B24" s="160" t="s">
        <v>606</v>
      </c>
      <c r="C24" s="160" t="s">
        <v>605</v>
      </c>
      <c r="D24" s="160" t="s">
        <v>74</v>
      </c>
      <c r="E24" s="160" t="s">
        <v>291</v>
      </c>
      <c r="F24" s="160" t="s">
        <v>292</v>
      </c>
      <c r="G24" s="160" t="s">
        <v>468</v>
      </c>
      <c r="H24" s="160" t="s">
        <v>469</v>
      </c>
      <c r="I24" s="12">
        <v>3000</v>
      </c>
      <c r="J24" s="12">
        <v>3000</v>
      </c>
      <c r="K24" s="12">
        <v>3000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ht="18.75" customHeight="1">
      <c r="A25" s="151"/>
      <c r="B25" s="151"/>
      <c r="C25" s="150" t="s">
        <v>607</v>
      </c>
      <c r="D25" s="151"/>
      <c r="E25" s="151"/>
      <c r="F25" s="151"/>
      <c r="G25" s="151"/>
      <c r="H25" s="151"/>
      <c r="I25" s="12">
        <v>47000</v>
      </c>
      <c r="J25" s="12">
        <v>47000</v>
      </c>
      <c r="K25" s="12">
        <v>47000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ht="18.75" customHeight="1">
      <c r="A26" s="160" t="s">
        <v>595</v>
      </c>
      <c r="B26" s="160" t="s">
        <v>608</v>
      </c>
      <c r="C26" s="160" t="s">
        <v>607</v>
      </c>
      <c r="D26" s="160" t="s">
        <v>74</v>
      </c>
      <c r="E26" s="160" t="s">
        <v>390</v>
      </c>
      <c r="F26" s="160" t="s">
        <v>391</v>
      </c>
      <c r="G26" s="160" t="s">
        <v>468</v>
      </c>
      <c r="H26" s="160" t="s">
        <v>469</v>
      </c>
      <c r="I26" s="12">
        <v>47000</v>
      </c>
      <c r="J26" s="12">
        <v>47000</v>
      </c>
      <c r="K26" s="12">
        <v>47000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ht="18.75" customHeight="1">
      <c r="A27" s="151"/>
      <c r="B27" s="151"/>
      <c r="C27" s="150" t="s">
        <v>609</v>
      </c>
      <c r="D27" s="151"/>
      <c r="E27" s="151"/>
      <c r="F27" s="151"/>
      <c r="G27" s="151"/>
      <c r="H27" s="151"/>
      <c r="I27" s="12">
        <v>70000</v>
      </c>
      <c r="J27" s="12">
        <v>70000</v>
      </c>
      <c r="K27" s="12">
        <v>70000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ht="18.75" customHeight="1">
      <c r="A28" s="160" t="s">
        <v>595</v>
      </c>
      <c r="B28" s="160" t="s">
        <v>610</v>
      </c>
      <c r="C28" s="160" t="s">
        <v>609</v>
      </c>
      <c r="D28" s="160" t="s">
        <v>74</v>
      </c>
      <c r="E28" s="160" t="s">
        <v>286</v>
      </c>
      <c r="F28" s="160" t="s">
        <v>282</v>
      </c>
      <c r="G28" s="160" t="s">
        <v>468</v>
      </c>
      <c r="H28" s="160" t="s">
        <v>469</v>
      </c>
      <c r="I28" s="12">
        <v>70000</v>
      </c>
      <c r="J28" s="12">
        <v>70000</v>
      </c>
      <c r="K28" s="12">
        <v>70000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ht="18.75" customHeight="1">
      <c r="A29" s="151"/>
      <c r="B29" s="151"/>
      <c r="C29" s="150" t="s">
        <v>611</v>
      </c>
      <c r="D29" s="151"/>
      <c r="E29" s="151"/>
      <c r="F29" s="151"/>
      <c r="G29" s="151"/>
      <c r="H29" s="151"/>
      <c r="I29" s="12">
        <v>200000</v>
      </c>
      <c r="J29" s="12">
        <v>200000</v>
      </c>
      <c r="K29" s="12">
        <v>200000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ht="18.75" customHeight="1">
      <c r="A30" s="160" t="s">
        <v>595</v>
      </c>
      <c r="B30" s="160" t="s">
        <v>612</v>
      </c>
      <c r="C30" s="160" t="s">
        <v>611</v>
      </c>
      <c r="D30" s="160" t="s">
        <v>74</v>
      </c>
      <c r="E30" s="160" t="s">
        <v>358</v>
      </c>
      <c r="F30" s="160" t="s">
        <v>359</v>
      </c>
      <c r="G30" s="160" t="s">
        <v>613</v>
      </c>
      <c r="H30" s="160" t="s">
        <v>591</v>
      </c>
      <c r="I30" s="12">
        <v>200000</v>
      </c>
      <c r="J30" s="12">
        <v>200000</v>
      </c>
      <c r="K30" s="12">
        <v>200000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ht="18.75" customHeight="1">
      <c r="A31" s="151"/>
      <c r="B31" s="151"/>
      <c r="C31" s="150" t="s">
        <v>614</v>
      </c>
      <c r="D31" s="151"/>
      <c r="E31" s="151"/>
      <c r="F31" s="151"/>
      <c r="G31" s="151"/>
      <c r="H31" s="151"/>
      <c r="I31" s="12">
        <v>30000</v>
      </c>
      <c r="J31" s="12">
        <v>30000</v>
      </c>
      <c r="K31" s="12">
        <v>30000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ht="18.75" customHeight="1">
      <c r="A32" s="160" t="s">
        <v>595</v>
      </c>
      <c r="B32" s="160" t="s">
        <v>615</v>
      </c>
      <c r="C32" s="160" t="s">
        <v>614</v>
      </c>
      <c r="D32" s="160" t="s">
        <v>74</v>
      </c>
      <c r="E32" s="160" t="s">
        <v>281</v>
      </c>
      <c r="F32" s="160" t="s">
        <v>282</v>
      </c>
      <c r="G32" s="160" t="s">
        <v>468</v>
      </c>
      <c r="H32" s="160" t="s">
        <v>469</v>
      </c>
      <c r="I32" s="12">
        <v>30000</v>
      </c>
      <c r="J32" s="12">
        <v>30000</v>
      </c>
      <c r="K32" s="12">
        <v>30000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ht="18.75" customHeight="1">
      <c r="A33" s="161" t="s">
        <v>59</v>
      </c>
      <c r="B33" s="161"/>
      <c r="C33" s="161"/>
      <c r="D33" s="161"/>
      <c r="E33" s="161"/>
      <c r="F33" s="161"/>
      <c r="G33" s="161"/>
      <c r="H33" s="161"/>
      <c r="I33" s="12">
        <v>661500</v>
      </c>
      <c r="J33" s="12">
        <v>661500</v>
      </c>
      <c r="K33" s="12">
        <v>661500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>
    <mergeCell ref="B4:B7"/>
    <mergeCell ref="J5:K6"/>
    <mergeCell ref="S5:S7"/>
    <mergeCell ref="T5:T7"/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R5:R7"/>
    <mergeCell ref="M5:M7"/>
    <mergeCell ref="J4:M4"/>
    <mergeCell ref="N4:P4"/>
    <mergeCell ref="N5:N7"/>
    <mergeCell ref="O5:O7"/>
    <mergeCell ref="P5:P7"/>
    <mergeCell ref="A33:H33"/>
  </mergeCells>
  <extLst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69388B-423D-D514-B04D-779E3920555D}" mc:Ignorable="x14ac xr xr2 xr3">
  <sheetPr>
    <outlinePr summaryBelow="0" summaryRight="0"/>
  </sheetPr>
  <dimension ref="A1:J53"/>
  <sheetViews>
    <sheetView showZeros="0" topLeftCell="A1" workbookViewId="0" tabSelected="1">
      <selection activeCell="A1" sqref="A1"/>
    </sheetView>
  </sheetViews>
  <sheetFormatPr defaultRowHeight="12" defaultColWidth="9.140625" customHeight="1"/>
  <cols>
    <col min="1" max="1" width="54.0117187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r="1" ht="15" customHeight="1">
      <c r="J1" s="162" t="s">
        <v>616</v>
      </c>
    </row>
    <row r="2" ht="36.75" customHeight="1">
      <c r="A2" s="52" t="str">
        <f>"2025"&amp;"年部门项目支出绩效目标表"</f>
        <v>2025年部门项目支出绩效目标表</v>
      </c>
      <c r="B2" s="135"/>
      <c r="C2" s="135"/>
      <c r="D2" s="135"/>
      <c r="E2" s="135"/>
      <c r="F2" s="134"/>
      <c r="G2" s="135"/>
      <c r="H2" s="134"/>
      <c r="I2" s="134"/>
      <c r="J2" s="135"/>
    </row>
    <row r="3" ht="18.75" customHeight="1">
      <c r="A3" s="163" t="str">
        <f>"单位名称："&amp;"耿马傣族佤族自治县勐永镇"</f>
        <v>单位名称：耿马傣族佤族自治县勐永镇</v>
      </c>
      <c r="B3" s="85"/>
      <c r="C3" s="85"/>
      <c r="D3" s="85"/>
      <c r="E3" s="85"/>
      <c r="F3" s="164"/>
      <c r="G3" s="85"/>
      <c r="H3" s="164"/>
    </row>
    <row r="4" ht="18.75" customHeight="1">
      <c r="A4" s="66" t="s">
        <v>618</v>
      </c>
      <c r="B4" s="66" t="s">
        <v>619</v>
      </c>
      <c r="C4" s="66" t="s">
        <v>620</v>
      </c>
      <c r="D4" s="66" t="s">
        <v>621</v>
      </c>
      <c r="E4" s="66" t="s">
        <v>622</v>
      </c>
      <c r="F4" s="165" t="s">
        <v>623</v>
      </c>
      <c r="G4" s="66" t="s">
        <v>624</v>
      </c>
      <c r="H4" s="165" t="s">
        <v>625</v>
      </c>
      <c r="I4" s="165" t="s">
        <v>626</v>
      </c>
      <c r="J4" s="66" t="s">
        <v>627</v>
      </c>
    </row>
    <row r="5" ht="18.75" customHeight="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18.75" customHeight="1">
      <c r="A6" s="100" t="s">
        <v>423</v>
      </c>
      <c r="B6" s="166"/>
      <c r="C6" s="166"/>
      <c r="D6" s="166"/>
      <c r="E6" s="103"/>
      <c r="F6" s="167"/>
      <c r="G6" s="103"/>
      <c r="H6" s="167"/>
      <c r="I6" s="167"/>
      <c r="J6" s="103"/>
    </row>
    <row r="7" ht="18.75" customHeight="1">
      <c r="A7" s="101" t="s">
        <v>74</v>
      </c>
      <c r="B7" s="168"/>
      <c r="C7" s="168"/>
      <c r="D7" s="168"/>
      <c r="E7" s="100"/>
      <c r="F7" s="168"/>
      <c r="G7" s="100"/>
      <c r="H7" s="168"/>
      <c r="I7" s="168"/>
      <c r="J7" s="100"/>
    </row>
    <row r="8" ht="18.75" customHeight="1">
      <c r="A8" s="169" t="str">
        <f t="shared" si="0" ref="A8:A10">"    "&amp;"村社区“两委”班子换届及乡镇班子换届工作经费"</f>
        <v>    村社区“两委”班子换届及乡镇班子换届工作经费</v>
      </c>
      <c r="B8" s="168" t="s">
        <v>629</v>
      </c>
      <c r="C8" s="168" t="s">
        <v>630</v>
      </c>
      <c r="D8" s="168" t="s">
        <v>631</v>
      </c>
      <c r="E8" s="100" t="s">
        <v>632</v>
      </c>
      <c r="F8" s="168" t="s">
        <v>633</v>
      </c>
      <c r="G8" s="100" t="s">
        <v>634</v>
      </c>
      <c r="H8" s="168" t="s">
        <v>635</v>
      </c>
      <c r="I8" s="168" t="s">
        <v>636</v>
      </c>
      <c r="J8" s="100" t="s">
        <v>637</v>
      </c>
    </row>
    <row r="9" ht="18.75" customHeight="1">
      <c r="A9" s="169" t="str">
        <f t="shared" si="0"/>
        <v>    村社区“两委”班子换届及乡镇班子换届工作经费</v>
      </c>
      <c r="B9" s="168" t="s">
        <v>629</v>
      </c>
      <c r="C9" s="168" t="s">
        <v>638</v>
      </c>
      <c r="D9" s="168" t="s">
        <v>639</v>
      </c>
      <c r="E9" s="100" t="s">
        <v>640</v>
      </c>
      <c r="F9" s="168" t="s">
        <v>633</v>
      </c>
      <c r="G9" s="100" t="s">
        <v>634</v>
      </c>
      <c r="H9" s="168" t="s">
        <v>635</v>
      </c>
      <c r="I9" s="168" t="s">
        <v>636</v>
      </c>
      <c r="J9" s="100" t="s">
        <v>641</v>
      </c>
    </row>
    <row r="10" ht="18.75" customHeight="1">
      <c r="A10" s="169" t="str">
        <f t="shared" si="0"/>
        <v>    村社区“两委”班子换届及乡镇班子换届工作经费</v>
      </c>
      <c r="B10" s="168" t="s">
        <v>629</v>
      </c>
      <c r="C10" s="168" t="s">
        <v>642</v>
      </c>
      <c r="D10" s="168" t="s">
        <v>643</v>
      </c>
      <c r="E10" s="100" t="s">
        <v>644</v>
      </c>
      <c r="F10" s="168" t="s">
        <v>633</v>
      </c>
      <c r="G10" s="100" t="s">
        <v>634</v>
      </c>
      <c r="H10" s="168" t="s">
        <v>635</v>
      </c>
      <c r="I10" s="168" t="s">
        <v>636</v>
      </c>
      <c r="J10" s="100" t="s">
        <v>645</v>
      </c>
    </row>
    <row r="11" ht="18.75" customHeight="1">
      <c r="A11" s="169" t="str">
        <f t="shared" si="1" ref="A11:A14">"    "&amp;"乡镇农村人居环境整治项目资金"</f>
        <v>    乡镇农村人居环境整治项目资金</v>
      </c>
      <c r="B11" s="168" t="s">
        <v>647</v>
      </c>
      <c r="C11" s="168" t="s">
        <v>630</v>
      </c>
      <c r="D11" s="168" t="s">
        <v>648</v>
      </c>
      <c r="E11" s="100" t="s">
        <v>649</v>
      </c>
      <c r="F11" s="168" t="s">
        <v>633</v>
      </c>
      <c r="G11" s="100" t="s">
        <v>650</v>
      </c>
      <c r="H11" s="168" t="s">
        <v>651</v>
      </c>
      <c r="I11" s="168" t="s">
        <v>636</v>
      </c>
      <c r="J11" s="100" t="s">
        <v>652</v>
      </c>
    </row>
    <row r="12" ht="18.75" customHeight="1">
      <c r="A12" s="169" t="str">
        <f t="shared" si="1"/>
        <v>    乡镇农村人居环境整治项目资金</v>
      </c>
      <c r="B12" s="168" t="s">
        <v>647</v>
      </c>
      <c r="C12" s="168" t="s">
        <v>630</v>
      </c>
      <c r="D12" s="168" t="s">
        <v>631</v>
      </c>
      <c r="E12" s="100" t="s">
        <v>632</v>
      </c>
      <c r="F12" s="168" t="s">
        <v>633</v>
      </c>
      <c r="G12" s="100" t="s">
        <v>634</v>
      </c>
      <c r="H12" s="168" t="s">
        <v>635</v>
      </c>
      <c r="I12" s="168" t="s">
        <v>636</v>
      </c>
      <c r="J12" s="100" t="s">
        <v>637</v>
      </c>
    </row>
    <row r="13" ht="18.75" customHeight="1">
      <c r="A13" s="169" t="str">
        <f t="shared" si="1"/>
        <v>    乡镇农村人居环境整治项目资金</v>
      </c>
      <c r="B13" s="168" t="s">
        <v>647</v>
      </c>
      <c r="C13" s="168" t="s">
        <v>638</v>
      </c>
      <c r="D13" s="168" t="s">
        <v>639</v>
      </c>
      <c r="E13" s="100" t="s">
        <v>653</v>
      </c>
      <c r="F13" s="168" t="s">
        <v>633</v>
      </c>
      <c r="G13" s="100" t="s">
        <v>634</v>
      </c>
      <c r="H13" s="168" t="s">
        <v>635</v>
      </c>
      <c r="I13" s="168" t="s">
        <v>636</v>
      </c>
      <c r="J13" s="100" t="s">
        <v>654</v>
      </c>
    </row>
    <row r="14" ht="18.75" customHeight="1">
      <c r="A14" s="169" t="str">
        <f t="shared" si="1"/>
        <v>    乡镇农村人居环境整治项目资金</v>
      </c>
      <c r="B14" s="168" t="s">
        <v>647</v>
      </c>
      <c r="C14" s="168" t="s">
        <v>642</v>
      </c>
      <c r="D14" s="168" t="s">
        <v>643</v>
      </c>
      <c r="E14" s="100" t="s">
        <v>655</v>
      </c>
      <c r="F14" s="168" t="s">
        <v>633</v>
      </c>
      <c r="G14" s="100" t="s">
        <v>634</v>
      </c>
      <c r="H14" s="168" t="s">
        <v>635</v>
      </c>
      <c r="I14" s="168" t="s">
        <v>636</v>
      </c>
      <c r="J14" s="100" t="s">
        <v>656</v>
      </c>
    </row>
    <row r="15" ht="18.75" customHeight="1">
      <c r="A15" s="169" t="str">
        <f t="shared" si="2" ref="A15:A19">"    "&amp;"2025年春节慰问经费"</f>
        <v>    2025年春节慰问经费</v>
      </c>
      <c r="B15" s="168" t="s">
        <v>658</v>
      </c>
      <c r="C15" s="168" t="s">
        <v>630</v>
      </c>
      <c r="D15" s="168" t="s">
        <v>648</v>
      </c>
      <c r="E15" s="100" t="s">
        <v>659</v>
      </c>
      <c r="F15" s="168" t="s">
        <v>633</v>
      </c>
      <c r="G15" s="100" t="s">
        <v>660</v>
      </c>
      <c r="H15" s="168" t="s">
        <v>661</v>
      </c>
      <c r="I15" s="168" t="s">
        <v>636</v>
      </c>
      <c r="J15" s="100" t="s">
        <v>662</v>
      </c>
    </row>
    <row r="16" ht="18.75" customHeight="1">
      <c r="A16" s="169" t="str">
        <f t="shared" si="2"/>
        <v>    2025年春节慰问经费</v>
      </c>
      <c r="B16" s="168" t="s">
        <v>658</v>
      </c>
      <c r="C16" s="168" t="s">
        <v>630</v>
      </c>
      <c r="D16" s="168" t="s">
        <v>663</v>
      </c>
      <c r="E16" s="100" t="s">
        <v>664</v>
      </c>
      <c r="F16" s="168" t="s">
        <v>633</v>
      </c>
      <c r="G16" s="100" t="s">
        <v>634</v>
      </c>
      <c r="H16" s="168" t="s">
        <v>635</v>
      </c>
      <c r="I16" s="168" t="s">
        <v>665</v>
      </c>
      <c r="J16" s="100" t="s">
        <v>666</v>
      </c>
    </row>
    <row r="17" ht="18.75" customHeight="1">
      <c r="A17" s="169" t="str">
        <f t="shared" si="2"/>
        <v>    2025年春节慰问经费</v>
      </c>
      <c r="B17" s="168" t="s">
        <v>658</v>
      </c>
      <c r="C17" s="168" t="s">
        <v>638</v>
      </c>
      <c r="D17" s="168" t="s">
        <v>639</v>
      </c>
      <c r="E17" s="100" t="s">
        <v>667</v>
      </c>
      <c r="F17" s="168" t="s">
        <v>668</v>
      </c>
      <c r="G17" s="100" t="s">
        <v>669</v>
      </c>
      <c r="H17" s="168" t="s">
        <v>635</v>
      </c>
      <c r="I17" s="168" t="s">
        <v>665</v>
      </c>
      <c r="J17" s="100" t="s">
        <v>670</v>
      </c>
    </row>
    <row r="18" ht="18.75" customHeight="1">
      <c r="A18" s="169" t="str">
        <f t="shared" si="2"/>
        <v>    2025年春节慰问经费</v>
      </c>
      <c r="B18" s="168" t="s">
        <v>658</v>
      </c>
      <c r="C18" s="168" t="s">
        <v>638</v>
      </c>
      <c r="D18" s="168" t="s">
        <v>671</v>
      </c>
      <c r="E18" s="100" t="s">
        <v>672</v>
      </c>
      <c r="F18" s="168" t="s">
        <v>633</v>
      </c>
      <c r="G18" s="100" t="s">
        <v>634</v>
      </c>
      <c r="H18" s="168" t="s">
        <v>635</v>
      </c>
      <c r="I18" s="168" t="s">
        <v>665</v>
      </c>
      <c r="J18" s="100" t="s">
        <v>673</v>
      </c>
    </row>
    <row r="19" ht="18.75" customHeight="1">
      <c r="A19" s="169" t="str">
        <f t="shared" si="2"/>
        <v>    2025年春节慰问经费</v>
      </c>
      <c r="B19" s="168" t="s">
        <v>658</v>
      </c>
      <c r="C19" s="168" t="s">
        <v>642</v>
      </c>
      <c r="D19" s="168" t="s">
        <v>643</v>
      </c>
      <c r="E19" s="100" t="s">
        <v>674</v>
      </c>
      <c r="F19" s="168" t="s">
        <v>675</v>
      </c>
      <c r="G19" s="100" t="s">
        <v>669</v>
      </c>
      <c r="H19" s="168" t="s">
        <v>635</v>
      </c>
      <c r="I19" s="168" t="s">
        <v>665</v>
      </c>
      <c r="J19" s="100" t="s">
        <v>676</v>
      </c>
    </row>
    <row r="20" ht="18.75" customHeight="1">
      <c r="A20" s="169" t="str">
        <f t="shared" si="3" ref="A20:A23">"    "&amp;"2023年彩票公益金项目资金"</f>
        <v>    2023年彩票公益金项目资金</v>
      </c>
      <c r="B20" s="168" t="s">
        <v>678</v>
      </c>
      <c r="C20" s="168" t="s">
        <v>630</v>
      </c>
      <c r="D20" s="168" t="s">
        <v>631</v>
      </c>
      <c r="E20" s="100" t="s">
        <v>632</v>
      </c>
      <c r="F20" s="168" t="s">
        <v>633</v>
      </c>
      <c r="G20" s="100" t="s">
        <v>634</v>
      </c>
      <c r="H20" s="168" t="s">
        <v>635</v>
      </c>
      <c r="I20" s="168" t="s">
        <v>665</v>
      </c>
      <c r="J20" s="100" t="s">
        <v>637</v>
      </c>
    </row>
    <row r="21" ht="18.75" customHeight="1">
      <c r="A21" s="169" t="str">
        <f t="shared" si="3"/>
        <v>    2023年彩票公益金项目资金</v>
      </c>
      <c r="B21" s="168" t="s">
        <v>678</v>
      </c>
      <c r="C21" s="168" t="s">
        <v>630</v>
      </c>
      <c r="D21" s="168" t="s">
        <v>663</v>
      </c>
      <c r="E21" s="100" t="s">
        <v>664</v>
      </c>
      <c r="F21" s="168" t="s">
        <v>633</v>
      </c>
      <c r="G21" s="100" t="s">
        <v>634</v>
      </c>
      <c r="H21" s="168" t="s">
        <v>635</v>
      </c>
      <c r="I21" s="168" t="s">
        <v>665</v>
      </c>
      <c r="J21" s="100" t="s">
        <v>666</v>
      </c>
    </row>
    <row r="22" ht="18.75" customHeight="1">
      <c r="A22" s="169" t="str">
        <f t="shared" si="3"/>
        <v>    2023年彩票公益金项目资金</v>
      </c>
      <c r="B22" s="168" t="s">
        <v>678</v>
      </c>
      <c r="C22" s="168" t="s">
        <v>638</v>
      </c>
      <c r="D22" s="168" t="s">
        <v>639</v>
      </c>
      <c r="E22" s="100" t="s">
        <v>679</v>
      </c>
      <c r="F22" s="168" t="s">
        <v>633</v>
      </c>
      <c r="G22" s="100" t="s">
        <v>634</v>
      </c>
      <c r="H22" s="168" t="s">
        <v>635</v>
      </c>
      <c r="I22" s="168" t="s">
        <v>665</v>
      </c>
      <c r="J22" s="100" t="s">
        <v>680</v>
      </c>
    </row>
    <row r="23" ht="18.75" customHeight="1">
      <c r="A23" s="169" t="str">
        <f t="shared" si="3"/>
        <v>    2023年彩票公益金项目资金</v>
      </c>
      <c r="B23" s="168" t="s">
        <v>678</v>
      </c>
      <c r="C23" s="168" t="s">
        <v>642</v>
      </c>
      <c r="D23" s="168" t="s">
        <v>643</v>
      </c>
      <c r="E23" s="100" t="s">
        <v>643</v>
      </c>
      <c r="F23" s="168" t="s">
        <v>675</v>
      </c>
      <c r="G23" s="100" t="s">
        <v>669</v>
      </c>
      <c r="H23" s="168" t="s">
        <v>635</v>
      </c>
      <c r="I23" s="168" t="s">
        <v>665</v>
      </c>
      <c r="J23" s="100" t="s">
        <v>681</v>
      </c>
    </row>
    <row r="24" ht="18.75" customHeight="1">
      <c r="A24" s="169" t="str">
        <f t="shared" si="4" ref="A24:A27">"    "&amp;"2020年勐永镇光木林村道路硬化项目中央统筹整合涉农补助经费"</f>
        <v>    2020年勐永镇光木林村道路硬化项目中央统筹整合涉农补助经费</v>
      </c>
      <c r="B24" s="168" t="s">
        <v>683</v>
      </c>
      <c r="C24" s="168" t="s">
        <v>630</v>
      </c>
      <c r="D24" s="168" t="s">
        <v>631</v>
      </c>
      <c r="E24" s="100" t="s">
        <v>632</v>
      </c>
      <c r="F24" s="168" t="s">
        <v>633</v>
      </c>
      <c r="G24" s="100" t="s">
        <v>634</v>
      </c>
      <c r="H24" s="168" t="s">
        <v>635</v>
      </c>
      <c r="I24" s="168" t="s">
        <v>665</v>
      </c>
      <c r="J24" s="100" t="s">
        <v>637</v>
      </c>
    </row>
    <row r="25" ht="18.75" customHeight="1">
      <c r="A25" s="169" t="str">
        <f t="shared" si="4"/>
        <v>    2020年勐永镇光木林村道路硬化项目中央统筹整合涉农补助经费</v>
      </c>
      <c r="B25" s="168" t="s">
        <v>683</v>
      </c>
      <c r="C25" s="168" t="s">
        <v>630</v>
      </c>
      <c r="D25" s="168" t="s">
        <v>663</v>
      </c>
      <c r="E25" s="100" t="s">
        <v>664</v>
      </c>
      <c r="F25" s="168" t="s">
        <v>633</v>
      </c>
      <c r="G25" s="100" t="s">
        <v>634</v>
      </c>
      <c r="H25" s="168" t="s">
        <v>635</v>
      </c>
      <c r="I25" s="168" t="s">
        <v>665</v>
      </c>
      <c r="J25" s="100" t="s">
        <v>666</v>
      </c>
    </row>
    <row r="26" ht="18.75" customHeight="1">
      <c r="A26" s="169" t="str">
        <f t="shared" si="4"/>
        <v>    2020年勐永镇光木林村道路硬化项目中央统筹整合涉农补助经费</v>
      </c>
      <c r="B26" s="168" t="s">
        <v>683</v>
      </c>
      <c r="C26" s="168" t="s">
        <v>638</v>
      </c>
      <c r="D26" s="168" t="s">
        <v>639</v>
      </c>
      <c r="E26" s="100" t="s">
        <v>679</v>
      </c>
      <c r="F26" s="168" t="s">
        <v>675</v>
      </c>
      <c r="G26" s="100" t="s">
        <v>669</v>
      </c>
      <c r="H26" s="168" t="s">
        <v>635</v>
      </c>
      <c r="I26" s="168" t="s">
        <v>665</v>
      </c>
      <c r="J26" s="100" t="s">
        <v>684</v>
      </c>
    </row>
    <row r="27" ht="18.75" customHeight="1">
      <c r="A27" s="169" t="str">
        <f t="shared" si="4"/>
        <v>    2020年勐永镇光木林村道路硬化项目中央统筹整合涉农补助经费</v>
      </c>
      <c r="B27" s="168" t="s">
        <v>683</v>
      </c>
      <c r="C27" s="168" t="s">
        <v>642</v>
      </c>
      <c r="D27" s="168" t="s">
        <v>643</v>
      </c>
      <c r="E27" s="100" t="s">
        <v>643</v>
      </c>
      <c r="F27" s="168" t="s">
        <v>675</v>
      </c>
      <c r="G27" s="100" t="s">
        <v>669</v>
      </c>
      <c r="H27" s="168" t="s">
        <v>635</v>
      </c>
      <c r="I27" s="168" t="s">
        <v>665</v>
      </c>
      <c r="J27" s="100" t="s">
        <v>681</v>
      </c>
    </row>
    <row r="28" ht="18.75" customHeight="1">
      <c r="A28" s="169" t="str">
        <f t="shared" si="5" ref="A28:A31">"    "&amp;"2021年帮令村麻栗树民族团结示范村脱贫攻坚巩固提升项目资金"</f>
        <v>    2021年帮令村麻栗树民族团结示范村脱贫攻坚巩固提升项目资金</v>
      </c>
      <c r="B28" s="168" t="s">
        <v>686</v>
      </c>
      <c r="C28" s="168" t="s">
        <v>630</v>
      </c>
      <c r="D28" s="168" t="s">
        <v>631</v>
      </c>
      <c r="E28" s="100" t="s">
        <v>632</v>
      </c>
      <c r="F28" s="168" t="s">
        <v>633</v>
      </c>
      <c r="G28" s="100" t="s">
        <v>634</v>
      </c>
      <c r="H28" s="168" t="s">
        <v>635</v>
      </c>
      <c r="I28" s="168" t="s">
        <v>665</v>
      </c>
      <c r="J28" s="100" t="s">
        <v>687</v>
      </c>
    </row>
    <row r="29" ht="18.75" customHeight="1">
      <c r="A29" s="169" t="str">
        <f t="shared" si="5"/>
        <v>    2021年帮令村麻栗树民族团结示范村脱贫攻坚巩固提升项目资金</v>
      </c>
      <c r="B29" s="168" t="s">
        <v>686</v>
      </c>
      <c r="C29" s="168" t="s">
        <v>630</v>
      </c>
      <c r="D29" s="168" t="s">
        <v>663</v>
      </c>
      <c r="E29" s="100" t="s">
        <v>688</v>
      </c>
      <c r="F29" s="168" t="s">
        <v>633</v>
      </c>
      <c r="G29" s="100" t="s">
        <v>634</v>
      </c>
      <c r="H29" s="168" t="s">
        <v>635</v>
      </c>
      <c r="I29" s="168" t="s">
        <v>665</v>
      </c>
      <c r="J29" s="100" t="s">
        <v>689</v>
      </c>
    </row>
    <row r="30" ht="18.75" customHeight="1">
      <c r="A30" s="169" t="str">
        <f t="shared" si="5"/>
        <v>    2021年帮令村麻栗树民族团结示范村脱贫攻坚巩固提升项目资金</v>
      </c>
      <c r="B30" s="168" t="s">
        <v>686</v>
      </c>
      <c r="C30" s="168" t="s">
        <v>638</v>
      </c>
      <c r="D30" s="168" t="s">
        <v>639</v>
      </c>
      <c r="E30" s="100" t="s">
        <v>679</v>
      </c>
      <c r="F30" s="168" t="s">
        <v>675</v>
      </c>
      <c r="G30" s="100" t="s">
        <v>669</v>
      </c>
      <c r="H30" s="168" t="s">
        <v>635</v>
      </c>
      <c r="I30" s="168" t="s">
        <v>665</v>
      </c>
      <c r="J30" s="100" t="s">
        <v>690</v>
      </c>
    </row>
    <row r="31" ht="18.75" customHeight="1">
      <c r="A31" s="169" t="str">
        <f t="shared" si="5"/>
        <v>    2021年帮令村麻栗树民族团结示范村脱贫攻坚巩固提升项目资金</v>
      </c>
      <c r="B31" s="168" t="s">
        <v>686</v>
      </c>
      <c r="C31" s="168" t="s">
        <v>642</v>
      </c>
      <c r="D31" s="168" t="s">
        <v>643</v>
      </c>
      <c r="E31" s="100" t="s">
        <v>643</v>
      </c>
      <c r="F31" s="168" t="s">
        <v>675</v>
      </c>
      <c r="G31" s="100" t="s">
        <v>669</v>
      </c>
      <c r="H31" s="168" t="s">
        <v>635</v>
      </c>
      <c r="I31" s="168" t="s">
        <v>665</v>
      </c>
      <c r="J31" s="100" t="s">
        <v>691</v>
      </c>
    </row>
    <row r="32" ht="18.75" customHeight="1">
      <c r="A32" s="169" t="str">
        <f t="shared" si="6" ref="A32:A35">"    "&amp;"2019年第三批中央统筹整合涉农项目产业强镇资金"</f>
        <v>    2019年第三批中央统筹整合涉农项目产业强镇资金</v>
      </c>
      <c r="B32" s="168" t="s">
        <v>693</v>
      </c>
      <c r="C32" s="168" t="s">
        <v>630</v>
      </c>
      <c r="D32" s="168" t="s">
        <v>631</v>
      </c>
      <c r="E32" s="100" t="s">
        <v>632</v>
      </c>
      <c r="F32" s="168" t="s">
        <v>633</v>
      </c>
      <c r="G32" s="100" t="s">
        <v>634</v>
      </c>
      <c r="H32" s="168" t="s">
        <v>635</v>
      </c>
      <c r="I32" s="168" t="s">
        <v>665</v>
      </c>
      <c r="J32" s="100" t="s">
        <v>687</v>
      </c>
    </row>
    <row r="33" ht="18.75" customHeight="1">
      <c r="A33" s="169" t="str">
        <f t="shared" si="6"/>
        <v>    2019年第三批中央统筹整合涉农项目产业强镇资金</v>
      </c>
      <c r="B33" s="168" t="s">
        <v>693</v>
      </c>
      <c r="C33" s="168" t="s">
        <v>630</v>
      </c>
      <c r="D33" s="168" t="s">
        <v>663</v>
      </c>
      <c r="E33" s="100" t="s">
        <v>664</v>
      </c>
      <c r="F33" s="168" t="s">
        <v>633</v>
      </c>
      <c r="G33" s="100" t="s">
        <v>634</v>
      </c>
      <c r="H33" s="168" t="s">
        <v>635</v>
      </c>
      <c r="I33" s="168" t="s">
        <v>665</v>
      </c>
      <c r="J33" s="100" t="s">
        <v>694</v>
      </c>
    </row>
    <row r="34" ht="18.75" customHeight="1">
      <c r="A34" s="169" t="str">
        <f t="shared" si="6"/>
        <v>    2019年第三批中央统筹整合涉农项目产业强镇资金</v>
      </c>
      <c r="B34" s="168" t="s">
        <v>693</v>
      </c>
      <c r="C34" s="168" t="s">
        <v>638</v>
      </c>
      <c r="D34" s="168" t="s">
        <v>639</v>
      </c>
      <c r="E34" s="100" t="s">
        <v>679</v>
      </c>
      <c r="F34" s="168" t="s">
        <v>675</v>
      </c>
      <c r="G34" s="100" t="s">
        <v>669</v>
      </c>
      <c r="H34" s="168" t="s">
        <v>635</v>
      </c>
      <c r="I34" s="168" t="s">
        <v>665</v>
      </c>
      <c r="J34" s="100" t="s">
        <v>690</v>
      </c>
    </row>
    <row r="35" ht="18.75" customHeight="1">
      <c r="A35" s="169" t="str">
        <f t="shared" si="6"/>
        <v>    2019年第三批中央统筹整合涉农项目产业强镇资金</v>
      </c>
      <c r="B35" s="168" t="s">
        <v>693</v>
      </c>
      <c r="C35" s="168" t="s">
        <v>642</v>
      </c>
      <c r="D35" s="168" t="s">
        <v>643</v>
      </c>
      <c r="E35" s="100" t="s">
        <v>643</v>
      </c>
      <c r="F35" s="168" t="s">
        <v>675</v>
      </c>
      <c r="G35" s="100" t="s">
        <v>669</v>
      </c>
      <c r="H35" s="168" t="s">
        <v>635</v>
      </c>
      <c r="I35" s="168" t="s">
        <v>665</v>
      </c>
      <c r="J35" s="100" t="s">
        <v>681</v>
      </c>
    </row>
    <row r="36" ht="18.75" customHeight="1">
      <c r="A36" s="169" t="str">
        <f t="shared" si="7" ref="A36:A40">"    "&amp;"2025年重大项目前期经费"</f>
        <v>    2025年重大项目前期经费</v>
      </c>
      <c r="B36" s="168" t="s">
        <v>696</v>
      </c>
      <c r="C36" s="168" t="s">
        <v>630</v>
      </c>
      <c r="D36" s="168" t="s">
        <v>631</v>
      </c>
      <c r="E36" s="100" t="s">
        <v>632</v>
      </c>
      <c r="F36" s="168" t="s">
        <v>633</v>
      </c>
      <c r="G36" s="100" t="s">
        <v>634</v>
      </c>
      <c r="H36" s="168"/>
      <c r="I36" s="168" t="s">
        <v>665</v>
      </c>
      <c r="J36" s="100" t="s">
        <v>637</v>
      </c>
    </row>
    <row r="37" ht="18.75" customHeight="1">
      <c r="A37" s="169" t="str">
        <f t="shared" si="7"/>
        <v>    2025年重大项目前期经费</v>
      </c>
      <c r="B37" s="168" t="s">
        <v>696</v>
      </c>
      <c r="C37" s="168" t="s">
        <v>630</v>
      </c>
      <c r="D37" s="168" t="s">
        <v>663</v>
      </c>
      <c r="E37" s="100" t="s">
        <v>697</v>
      </c>
      <c r="F37" s="168" t="s">
        <v>633</v>
      </c>
      <c r="G37" s="100" t="s">
        <v>634</v>
      </c>
      <c r="H37" s="168" t="s">
        <v>635</v>
      </c>
      <c r="I37" s="168" t="s">
        <v>665</v>
      </c>
      <c r="J37" s="100" t="s">
        <v>698</v>
      </c>
    </row>
    <row r="38" ht="18.75" customHeight="1">
      <c r="A38" s="169" t="str">
        <f t="shared" si="7"/>
        <v>    2025年重大项目前期经费</v>
      </c>
      <c r="B38" s="168" t="s">
        <v>696</v>
      </c>
      <c r="C38" s="168" t="s">
        <v>638</v>
      </c>
      <c r="D38" s="168" t="s">
        <v>639</v>
      </c>
      <c r="E38" s="100" t="s">
        <v>679</v>
      </c>
      <c r="F38" s="168" t="s">
        <v>675</v>
      </c>
      <c r="G38" s="100" t="s">
        <v>669</v>
      </c>
      <c r="H38" s="168" t="s">
        <v>635</v>
      </c>
      <c r="I38" s="168" t="s">
        <v>665</v>
      </c>
      <c r="J38" s="100" t="s">
        <v>684</v>
      </c>
    </row>
    <row r="39" ht="18.75" customHeight="1">
      <c r="A39" s="169" t="str">
        <f t="shared" si="7"/>
        <v>    2025年重大项目前期经费</v>
      </c>
      <c r="B39" s="168" t="s">
        <v>696</v>
      </c>
      <c r="C39" s="168" t="s">
        <v>638</v>
      </c>
      <c r="D39" s="168" t="s">
        <v>671</v>
      </c>
      <c r="E39" s="100" t="s">
        <v>699</v>
      </c>
      <c r="F39" s="168" t="s">
        <v>633</v>
      </c>
      <c r="G39" s="100" t="s">
        <v>700</v>
      </c>
      <c r="H39" s="168" t="s">
        <v>635</v>
      </c>
      <c r="I39" s="168" t="s">
        <v>665</v>
      </c>
      <c r="J39" s="100" t="s">
        <v>699</v>
      </c>
    </row>
    <row r="40" ht="18.75" customHeight="1">
      <c r="A40" s="169" t="str">
        <f t="shared" si="7"/>
        <v>    2025年重大项目前期经费</v>
      </c>
      <c r="B40" s="168" t="s">
        <v>696</v>
      </c>
      <c r="C40" s="168" t="s">
        <v>642</v>
      </c>
      <c r="D40" s="168" t="s">
        <v>643</v>
      </c>
      <c r="E40" s="100" t="s">
        <v>643</v>
      </c>
      <c r="F40" s="168" t="s">
        <v>675</v>
      </c>
      <c r="G40" s="100" t="s">
        <v>669</v>
      </c>
      <c r="H40" s="168" t="s">
        <v>635</v>
      </c>
      <c r="I40" s="168" t="s">
        <v>665</v>
      </c>
      <c r="J40" s="100" t="s">
        <v>681</v>
      </c>
    </row>
    <row r="41" ht="18.75" customHeight="1">
      <c r="A41" s="169" t="str">
        <f t="shared" si="8" ref="A41:A43">"    "&amp;"村（社区）微型消防站建设、专职队车辆器材购置经费"</f>
        <v>    村（社区）微型消防站建设、专职队车辆器材购置经费</v>
      </c>
      <c r="B41" s="168" t="s">
        <v>702</v>
      </c>
      <c r="C41" s="168" t="s">
        <v>630</v>
      </c>
      <c r="D41" s="168" t="s">
        <v>631</v>
      </c>
      <c r="E41" s="100" t="s">
        <v>632</v>
      </c>
      <c r="F41" s="168" t="s">
        <v>633</v>
      </c>
      <c r="G41" s="100" t="s">
        <v>634</v>
      </c>
      <c r="H41" s="168" t="s">
        <v>635</v>
      </c>
      <c r="I41" s="168" t="s">
        <v>636</v>
      </c>
      <c r="J41" s="100" t="s">
        <v>637</v>
      </c>
    </row>
    <row r="42" ht="18.75" customHeight="1">
      <c r="A42" s="169" t="str">
        <f t="shared" si="8"/>
        <v>    村（社区）微型消防站建设、专职队车辆器材购置经费</v>
      </c>
      <c r="B42" s="168" t="s">
        <v>702</v>
      </c>
      <c r="C42" s="168" t="s">
        <v>638</v>
      </c>
      <c r="D42" s="168" t="s">
        <v>639</v>
      </c>
      <c r="E42" s="100" t="s">
        <v>640</v>
      </c>
      <c r="F42" s="168" t="s">
        <v>633</v>
      </c>
      <c r="G42" s="100" t="s">
        <v>634</v>
      </c>
      <c r="H42" s="168" t="s">
        <v>635</v>
      </c>
      <c r="I42" s="168" t="s">
        <v>636</v>
      </c>
      <c r="J42" s="100" t="s">
        <v>641</v>
      </c>
    </row>
    <row r="43" ht="18.75" customHeight="1">
      <c r="A43" s="169" t="str">
        <f t="shared" si="8"/>
        <v>    村（社区）微型消防站建设、专职队车辆器材购置经费</v>
      </c>
      <c r="B43" s="168" t="s">
        <v>702</v>
      </c>
      <c r="C43" s="168" t="s">
        <v>642</v>
      </c>
      <c r="D43" s="168" t="s">
        <v>643</v>
      </c>
      <c r="E43" s="100" t="s">
        <v>703</v>
      </c>
      <c r="F43" s="168" t="s">
        <v>633</v>
      </c>
      <c r="G43" s="100" t="s">
        <v>634</v>
      </c>
      <c r="H43" s="168" t="s">
        <v>635</v>
      </c>
      <c r="I43" s="168" t="s">
        <v>636</v>
      </c>
      <c r="J43" s="100" t="s">
        <v>704</v>
      </c>
    </row>
    <row r="44" ht="18.75" customHeight="1">
      <c r="A44" s="169" t="str">
        <f t="shared" si="9" ref="A44:A46">"    "&amp;"2025年统计工作经费"</f>
        <v>    2025年统计工作经费</v>
      </c>
      <c r="B44" s="168" t="s">
        <v>706</v>
      </c>
      <c r="C44" s="168" t="s">
        <v>630</v>
      </c>
      <c r="D44" s="168" t="s">
        <v>631</v>
      </c>
      <c r="E44" s="100" t="s">
        <v>632</v>
      </c>
      <c r="F44" s="168" t="s">
        <v>633</v>
      </c>
      <c r="G44" s="100" t="s">
        <v>634</v>
      </c>
      <c r="H44" s="168" t="s">
        <v>635</v>
      </c>
      <c r="I44" s="168" t="s">
        <v>636</v>
      </c>
      <c r="J44" s="100" t="s">
        <v>637</v>
      </c>
    </row>
    <row r="45" ht="18.75" customHeight="1">
      <c r="A45" s="169" t="str">
        <f t="shared" si="9"/>
        <v>    2025年统计工作经费</v>
      </c>
      <c r="B45" s="168" t="s">
        <v>706</v>
      </c>
      <c r="C45" s="168" t="s">
        <v>638</v>
      </c>
      <c r="D45" s="168" t="s">
        <v>639</v>
      </c>
      <c r="E45" s="100" t="s">
        <v>707</v>
      </c>
      <c r="F45" s="168" t="s">
        <v>633</v>
      </c>
      <c r="G45" s="100" t="s">
        <v>634</v>
      </c>
      <c r="H45" s="168" t="s">
        <v>635</v>
      </c>
      <c r="I45" s="168" t="s">
        <v>665</v>
      </c>
      <c r="J45" s="100" t="s">
        <v>707</v>
      </c>
    </row>
    <row r="46" ht="18.75" customHeight="1">
      <c r="A46" s="169" t="str">
        <f t="shared" si="9"/>
        <v>    2025年统计工作经费</v>
      </c>
      <c r="B46" s="168" t="s">
        <v>706</v>
      </c>
      <c r="C46" s="168" t="s">
        <v>642</v>
      </c>
      <c r="D46" s="168" t="s">
        <v>643</v>
      </c>
      <c r="E46" s="100" t="s">
        <v>643</v>
      </c>
      <c r="F46" s="168" t="s">
        <v>633</v>
      </c>
      <c r="G46" s="100" t="s">
        <v>634</v>
      </c>
      <c r="H46" s="168" t="s">
        <v>635</v>
      </c>
      <c r="I46" s="168" t="s">
        <v>665</v>
      </c>
      <c r="J46" s="100" t="s">
        <v>708</v>
      </c>
    </row>
    <row r="47" ht="18.75" customHeight="1">
      <c r="A47" s="169" t="str">
        <f t="shared" si="10" ref="A47:A49">"    "&amp;"乡镇人大主席团工作经费"</f>
        <v>    乡镇人大主席团工作经费</v>
      </c>
      <c r="B47" s="168" t="s">
        <v>710</v>
      </c>
      <c r="C47" s="168" t="s">
        <v>630</v>
      </c>
      <c r="D47" s="168" t="s">
        <v>631</v>
      </c>
      <c r="E47" s="100" t="s">
        <v>632</v>
      </c>
      <c r="F47" s="168" t="s">
        <v>633</v>
      </c>
      <c r="G47" s="100" t="s">
        <v>634</v>
      </c>
      <c r="H47" s="168" t="s">
        <v>635</v>
      </c>
      <c r="I47" s="168" t="s">
        <v>636</v>
      </c>
      <c r="J47" s="100" t="s">
        <v>687</v>
      </c>
    </row>
    <row r="48" ht="18.75" customHeight="1">
      <c r="A48" s="169" t="str">
        <f t="shared" si="10"/>
        <v>    乡镇人大主席团工作经费</v>
      </c>
      <c r="B48" s="168" t="s">
        <v>710</v>
      </c>
      <c r="C48" s="168" t="s">
        <v>638</v>
      </c>
      <c r="D48" s="168" t="s">
        <v>639</v>
      </c>
      <c r="E48" s="100" t="s">
        <v>711</v>
      </c>
      <c r="F48" s="168" t="s">
        <v>633</v>
      </c>
      <c r="G48" s="100" t="s">
        <v>634</v>
      </c>
      <c r="H48" s="168" t="s">
        <v>712</v>
      </c>
      <c r="I48" s="168" t="s">
        <v>636</v>
      </c>
      <c r="J48" s="100" t="s">
        <v>713</v>
      </c>
    </row>
    <row r="49" ht="18.75" customHeight="1">
      <c r="A49" s="169" t="str">
        <f t="shared" si="10"/>
        <v>    乡镇人大主席团工作经费</v>
      </c>
      <c r="B49" s="168" t="s">
        <v>710</v>
      </c>
      <c r="C49" s="168" t="s">
        <v>642</v>
      </c>
      <c r="D49" s="168" t="s">
        <v>643</v>
      </c>
      <c r="E49" s="100" t="s">
        <v>644</v>
      </c>
      <c r="F49" s="168" t="s">
        <v>633</v>
      </c>
      <c r="G49" s="100" t="s">
        <v>634</v>
      </c>
      <c r="H49" s="168" t="s">
        <v>635</v>
      </c>
      <c r="I49" s="168" t="s">
        <v>636</v>
      </c>
      <c r="J49" s="100" t="s">
        <v>714</v>
      </c>
    </row>
    <row r="50" ht="18.75" customHeight="1">
      <c r="A50" s="169" t="str">
        <f t="shared" si="11" ref="A50:A53">"    "&amp;"2021年勐永社区砂石产业路及引水沟渠修复建设资金"</f>
        <v>    2021年勐永社区砂石产业路及引水沟渠修复建设资金</v>
      </c>
      <c r="B50" s="168" t="s">
        <v>716</v>
      </c>
      <c r="C50" s="168" t="s">
        <v>630</v>
      </c>
      <c r="D50" s="168" t="s">
        <v>631</v>
      </c>
      <c r="E50" s="100" t="s">
        <v>632</v>
      </c>
      <c r="F50" s="168" t="s">
        <v>633</v>
      </c>
      <c r="G50" s="100" t="s">
        <v>634</v>
      </c>
      <c r="H50" s="168" t="s">
        <v>635</v>
      </c>
      <c r="I50" s="168" t="s">
        <v>665</v>
      </c>
      <c r="J50" s="100" t="s">
        <v>687</v>
      </c>
    </row>
    <row r="51" ht="18.75" customHeight="1">
      <c r="A51" s="169" t="str">
        <f t="shared" si="11"/>
        <v>    2021年勐永社区砂石产业路及引水沟渠修复建设资金</v>
      </c>
      <c r="B51" s="168" t="s">
        <v>716</v>
      </c>
      <c r="C51" s="168" t="s">
        <v>630</v>
      </c>
      <c r="D51" s="168" t="s">
        <v>663</v>
      </c>
      <c r="E51" s="100" t="s">
        <v>664</v>
      </c>
      <c r="F51" s="168" t="s">
        <v>675</v>
      </c>
      <c r="G51" s="100" t="s">
        <v>669</v>
      </c>
      <c r="H51" s="168" t="s">
        <v>635</v>
      </c>
      <c r="I51" s="168" t="s">
        <v>665</v>
      </c>
      <c r="J51" s="100" t="s">
        <v>664</v>
      </c>
    </row>
    <row r="52" ht="18.75" customHeight="1">
      <c r="A52" s="169" t="str">
        <f t="shared" si="11"/>
        <v>    2021年勐永社区砂石产业路及引水沟渠修复建设资金</v>
      </c>
      <c r="B52" s="168" t="s">
        <v>716</v>
      </c>
      <c r="C52" s="168" t="s">
        <v>638</v>
      </c>
      <c r="D52" s="168" t="s">
        <v>639</v>
      </c>
      <c r="E52" s="100" t="s">
        <v>717</v>
      </c>
      <c r="F52" s="168" t="s">
        <v>675</v>
      </c>
      <c r="G52" s="100" t="s">
        <v>669</v>
      </c>
      <c r="H52" s="168" t="s">
        <v>635</v>
      </c>
      <c r="I52" s="168" t="s">
        <v>665</v>
      </c>
      <c r="J52" s="100" t="s">
        <v>718</v>
      </c>
    </row>
    <row r="53" ht="18.75" customHeight="1">
      <c r="A53" s="169" t="str">
        <f t="shared" si="11"/>
        <v>    2021年勐永社区砂石产业路及引水沟渠修复建设资金</v>
      </c>
      <c r="B53" s="168" t="s">
        <v>716</v>
      </c>
      <c r="C53" s="168" t="s">
        <v>642</v>
      </c>
      <c r="D53" s="168" t="s">
        <v>643</v>
      </c>
      <c r="E53" s="100" t="s">
        <v>643</v>
      </c>
      <c r="F53" s="168" t="s">
        <v>675</v>
      </c>
      <c r="G53" s="100" t="s">
        <v>669</v>
      </c>
      <c r="H53" s="168" t="s">
        <v>635</v>
      </c>
      <c r="I53" s="168" t="s">
        <v>665</v>
      </c>
      <c r="J53" s="100" t="s">
        <v>691</v>
      </c>
    </row>
  </sheetData>
  <mergeCells>
    <mergeCell ref="A2:J2"/>
    <mergeCell ref="A3:H3"/>
    <mergeCell ref="A8:A10"/>
    <mergeCell ref="B8:B10"/>
    <mergeCell ref="A11:A14"/>
    <mergeCell ref="B11:B14"/>
    <mergeCell ref="A15:A19"/>
    <mergeCell ref="B15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40"/>
    <mergeCell ref="B36:B40"/>
    <mergeCell ref="A41:A43"/>
    <mergeCell ref="B41:B43"/>
    <mergeCell ref="A44:A46"/>
    <mergeCell ref="B44:B46"/>
    <mergeCell ref="A47:A49"/>
    <mergeCell ref="B47:B49"/>
    <mergeCell ref="A50:A53"/>
    <mergeCell ref="B50:B53"/>
  </mergeCells>
  <extLst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D9CDE8-EBB4-2606-2345-EA7CDCB5254A}" mc:Ignorable="x14ac xr xr2 xr3">
  <sheetPr>
    <outlinePr summaryBelow="0" summaryRight="0"/>
  </sheetPr>
  <dimension ref="A1:F9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32.140625" customWidth="1"/>
    <col min="2" max="2" width="16.8515625" customWidth="1"/>
    <col min="3" max="3" width="53.57421875" customWidth="1"/>
    <col min="4" max="6" width="28.57421875" customWidth="1"/>
  </cols>
  <sheetData>
    <row r="1" ht="15.75" customHeight="1">
      <c r="A1" s="170">
        <v>1</v>
      </c>
      <c r="B1" s="171">
        <v>0</v>
      </c>
      <c r="C1" s="170">
        <v>1</v>
      </c>
      <c r="D1" s="172"/>
      <c r="E1" s="172"/>
      <c r="F1" s="1" t="s">
        <v>719</v>
      </c>
    </row>
    <row r="2" ht="36.75" customHeight="1">
      <c r="A2" s="173" t="str">
        <f>"2025"&amp;"年部门政府性基金预算支出预算表"</f>
        <v>2025年部门政府性基金预算支出预算表</v>
      </c>
      <c r="B2" s="174" t="s">
        <v>721</v>
      </c>
      <c r="C2" s="175"/>
      <c r="D2" s="87"/>
      <c r="E2" s="87"/>
      <c r="F2" s="87"/>
    </row>
    <row r="3" ht="18.75" customHeight="1">
      <c r="A3" s="75" t="str">
        <f>"单位名称："&amp;"耿马傣族佤族自治县勐永镇"</f>
        <v>单位名称：耿马傣族佤族自治县勐永镇</v>
      </c>
      <c r="B3" s="75" t="s">
        <v>722</v>
      </c>
      <c r="C3" s="170"/>
      <c r="D3" s="172"/>
      <c r="E3" s="172"/>
      <c r="F3" s="1" t="s">
        <v>3</v>
      </c>
    </row>
    <row r="4" ht="18.75" customHeight="1">
      <c r="A4" s="92" t="s">
        <v>406</v>
      </c>
      <c r="B4" s="176" t="s">
        <v>77</v>
      </c>
      <c r="C4" s="177" t="s">
        <v>78</v>
      </c>
      <c r="D4" s="62" t="s">
        <v>723</v>
      </c>
      <c r="E4" s="62"/>
      <c r="F4" s="7"/>
    </row>
    <row r="5" ht="18.75" customHeight="1">
      <c r="A5" s="145"/>
      <c r="B5" s="178"/>
      <c r="C5" s="179"/>
      <c r="D5" s="96" t="s">
        <v>59</v>
      </c>
      <c r="E5" s="96" t="s">
        <v>79</v>
      </c>
      <c r="F5" s="96" t="s">
        <v>80</v>
      </c>
    </row>
    <row r="6" ht="18.75" customHeight="1">
      <c r="A6" s="180">
        <v>1</v>
      </c>
      <c r="B6" s="181" t="s">
        <v>272</v>
      </c>
      <c r="C6" s="182">
        <v>3</v>
      </c>
      <c r="D6" s="183">
        <v>4</v>
      </c>
      <c r="E6" s="183">
        <v>5</v>
      </c>
      <c r="F6" s="183">
        <v>6</v>
      </c>
    </row>
    <row r="7" ht="18.75" customHeight="1">
      <c r="A7" s="184"/>
      <c r="B7" s="185"/>
      <c r="C7" s="185"/>
      <c r="D7" s="12"/>
      <c r="E7" s="12"/>
      <c r="F7" s="12"/>
    </row>
    <row r="8" ht="18.75" customHeight="1">
      <c r="A8" s="184"/>
      <c r="B8" s="185"/>
      <c r="C8" s="185"/>
      <c r="D8" s="12"/>
      <c r="E8" s="12"/>
      <c r="F8" s="12"/>
    </row>
    <row r="9" ht="18.75" customHeight="1">
      <c r="A9" s="186" t="s">
        <v>59</v>
      </c>
      <c r="B9" s="187"/>
      <c r="C9" s="188"/>
      <c r="D9" s="12"/>
      <c r="E9" s="12"/>
      <c r="F9" s="12"/>
    </row>
  </sheetData>
  <mergeCells>
    <mergeCell ref="A2:F2"/>
    <mergeCell ref="D4:F4"/>
    <mergeCell ref="B4:B5"/>
    <mergeCell ref="C4:C5"/>
    <mergeCell ref="A4:A5"/>
    <mergeCell ref="A3:C3"/>
    <mergeCell ref="A9:C9"/>
  </mergeCells>
  <extLst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D42D0D-C083-CBB7-F4D5-717674BBC7BD}" mc:Ignorable="x14ac xr xr2 xr3">
  <sheetPr>
    <outlinePr summaryBelow="0" summaryRight="0"/>
  </sheetPr>
  <dimension ref="A1:Q10"/>
  <sheetViews>
    <sheetView showZeros="0" topLeftCell="D1" workbookViewId="0" tabSelected="1">
      <selection activeCell="A1" sqref="A1"/>
    </sheetView>
  </sheetViews>
  <sheetFormatPr defaultRowHeight="14.25" defaultColWidth="9.140625" customHeight="1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r="1" ht="15.7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O1" s="26"/>
      <c r="P1" s="26"/>
      <c r="Q1" s="1" t="s">
        <v>724</v>
      </c>
    </row>
    <row r="2" ht="35.25" customHeight="1">
      <c r="A2" s="189" t="str">
        <f>"2025"&amp;"年部门政府采购预算表"</f>
        <v>2025年部门政府采购预算表</v>
      </c>
      <c r="B2" s="135"/>
      <c r="C2" s="135"/>
      <c r="D2" s="135"/>
      <c r="E2" s="135"/>
      <c r="F2" s="135"/>
      <c r="G2" s="135"/>
      <c r="H2" s="135"/>
      <c r="I2" s="135"/>
      <c r="J2" s="135"/>
      <c r="K2" s="134"/>
      <c r="L2" s="135"/>
      <c r="M2" s="135"/>
      <c r="N2" s="135"/>
      <c r="O2" s="134"/>
      <c r="P2" s="134"/>
      <c r="Q2" s="135"/>
    </row>
    <row r="3" ht="18.75" customHeight="1">
      <c r="A3" s="190" t="str">
        <f>"单位名称："&amp;"耿马傣族佤族自治县勐永镇"</f>
        <v>单位名称：耿马傣族佤族自治县勐永镇</v>
      </c>
      <c r="B3" s="138"/>
      <c r="C3" s="138"/>
      <c r="D3" s="138"/>
      <c r="E3" s="138"/>
      <c r="F3" s="138"/>
      <c r="G3" s="138"/>
      <c r="H3" s="138"/>
      <c r="I3" s="138"/>
      <c r="J3" s="138"/>
      <c r="O3" s="191"/>
      <c r="P3" s="191"/>
      <c r="Q3" s="1" t="s">
        <v>394</v>
      </c>
    </row>
    <row r="4" ht="18.75" customHeight="1">
      <c r="A4" s="155" t="s">
        <v>726</v>
      </c>
      <c r="B4" s="192" t="s">
        <v>727</v>
      </c>
      <c r="C4" s="192" t="s">
        <v>728</v>
      </c>
      <c r="D4" s="192" t="s">
        <v>729</v>
      </c>
      <c r="E4" s="192" t="s">
        <v>730</v>
      </c>
      <c r="F4" s="192" t="s">
        <v>731</v>
      </c>
      <c r="G4" s="193" t="s">
        <v>413</v>
      </c>
      <c r="H4" s="193"/>
      <c r="I4" s="193"/>
      <c r="J4" s="193"/>
      <c r="K4" s="60"/>
      <c r="L4" s="193"/>
      <c r="M4" s="193"/>
      <c r="N4" s="193"/>
      <c r="O4" s="139"/>
      <c r="P4" s="60"/>
      <c r="Q4" s="194"/>
    </row>
    <row r="5" ht="18.75" customHeight="1">
      <c r="A5" s="156"/>
      <c r="B5" s="195"/>
      <c r="C5" s="195"/>
      <c r="D5" s="195"/>
      <c r="E5" s="195"/>
      <c r="F5" s="195"/>
      <c r="G5" s="195" t="s">
        <v>59</v>
      </c>
      <c r="H5" s="195" t="s">
        <v>62</v>
      </c>
      <c r="I5" s="195" t="s">
        <v>732</v>
      </c>
      <c r="J5" s="195" t="s">
        <v>733</v>
      </c>
      <c r="K5" s="196" t="s">
        <v>734</v>
      </c>
      <c r="L5" s="197" t="s">
        <v>82</v>
      </c>
      <c r="M5" s="197"/>
      <c r="N5" s="197"/>
      <c r="O5" s="198"/>
      <c r="P5" s="199"/>
      <c r="Q5" s="200"/>
    </row>
    <row r="6" ht="27" customHeight="1">
      <c r="A6" s="63"/>
      <c r="B6" s="200"/>
      <c r="C6" s="200"/>
      <c r="D6" s="200"/>
      <c r="E6" s="200"/>
      <c r="F6" s="200"/>
      <c r="G6" s="200"/>
      <c r="H6" s="200" t="s">
        <v>61</v>
      </c>
      <c r="I6" s="200"/>
      <c r="J6" s="200"/>
      <c r="K6" s="201"/>
      <c r="L6" s="200" t="s">
        <v>61</v>
      </c>
      <c r="M6" s="200" t="s">
        <v>68</v>
      </c>
      <c r="N6" s="200" t="s">
        <v>421</v>
      </c>
      <c r="O6" s="65" t="s">
        <v>70</v>
      </c>
      <c r="P6" s="201" t="s">
        <v>71</v>
      </c>
      <c r="Q6" s="200" t="s">
        <v>72</v>
      </c>
    </row>
    <row r="7" ht="18.75" customHeight="1">
      <c r="A7" s="10">
        <v>1</v>
      </c>
      <c r="B7" s="96">
        <v>2</v>
      </c>
      <c r="C7" s="96">
        <v>3</v>
      </c>
      <c r="D7" s="10">
        <v>4</v>
      </c>
      <c r="E7" s="96">
        <v>5</v>
      </c>
      <c r="F7" s="96">
        <v>6</v>
      </c>
      <c r="G7" s="10">
        <v>7</v>
      </c>
      <c r="H7" s="96">
        <v>8</v>
      </c>
      <c r="I7" s="96">
        <v>9</v>
      </c>
      <c r="J7" s="10">
        <v>10</v>
      </c>
      <c r="K7" s="96">
        <v>11</v>
      </c>
      <c r="L7" s="96">
        <v>12</v>
      </c>
      <c r="M7" s="10">
        <v>13</v>
      </c>
      <c r="N7" s="96">
        <v>14</v>
      </c>
      <c r="O7" s="96">
        <v>15</v>
      </c>
      <c r="P7" s="10">
        <v>16</v>
      </c>
      <c r="Q7" s="96">
        <v>17</v>
      </c>
    </row>
    <row r="8" ht="18.75" customHeight="1">
      <c r="A8" s="202"/>
      <c r="B8" s="203"/>
      <c r="C8" s="203"/>
      <c r="D8" s="203"/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6"/>
      <c r="P8" s="205"/>
      <c r="Q8" s="205"/>
    </row>
    <row r="9" ht="18.75" customHeight="1">
      <c r="A9" s="202"/>
      <c r="B9" s="203"/>
      <c r="C9" s="203"/>
      <c r="D9" s="203"/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6"/>
      <c r="P9" s="205"/>
      <c r="Q9" s="205"/>
    </row>
    <row r="10" ht="18.75" customHeight="1">
      <c r="A10" s="207" t="s">
        <v>59</v>
      </c>
      <c r="B10" s="188"/>
      <c r="C10" s="188"/>
      <c r="D10" s="188"/>
      <c r="E10" s="188"/>
      <c r="F10" s="205"/>
      <c r="G10" s="205"/>
      <c r="H10" s="205"/>
      <c r="I10" s="205"/>
      <c r="J10" s="205"/>
      <c r="K10" s="205"/>
      <c r="L10" s="205"/>
      <c r="M10" s="205"/>
      <c r="N10" s="205"/>
      <c r="O10" s="206"/>
      <c r="P10" s="205"/>
      <c r="Q10" s="205"/>
    </row>
  </sheetData>
  <mergeCells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  <mergeCell ref="A10:E10"/>
  </mergeCells>
  <extLst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B75AFD-9AB5-AB89-7226-230D36674078}" mc:Ignorable="x14ac xr xr2 xr3">
  <sheetPr>
    <outlinePr summaryBelow="0" summaryRight="0"/>
  </sheetPr>
  <dimension ref="A1:N10"/>
  <sheetViews>
    <sheetView showZeros="0" topLeftCell="B1" workbookViewId="0" tabSelected="1">
      <selection activeCell="A1" sqref="A1"/>
    </sheetView>
  </sheetViews>
  <sheetFormatPr defaultRowHeight="14.25" defaultColWidth="9.140625" customHeight="1"/>
  <cols>
    <col min="1" max="1" width="31.421875" customWidth="1"/>
    <col min="2" max="3" width="21.8515625" customWidth="1"/>
    <col min="4" max="14" width="19.00390625" customWidth="1"/>
  </cols>
  <sheetData>
    <row r="1" ht="13.5" customHeight="1">
      <c r="A1" s="56"/>
      <c r="B1" s="56"/>
      <c r="C1" s="25"/>
      <c r="D1" s="56"/>
      <c r="E1" s="56"/>
      <c r="F1" s="56"/>
      <c r="G1" s="56"/>
      <c r="H1" s="208"/>
      <c r="I1" s="106"/>
      <c r="J1" s="106"/>
      <c r="K1" s="106"/>
      <c r="L1" s="26"/>
      <c r="M1" s="162"/>
      <c r="N1" s="209" t="s">
        <v>735</v>
      </c>
    </row>
    <row r="2" ht="34.5" customHeight="1">
      <c r="A2" s="210" t="str">
        <f>"2025"&amp;"年部门政府购买服务预算表"</f>
        <v>2025年部门政府购买服务预算表</v>
      </c>
      <c r="B2" s="211"/>
      <c r="C2" s="134"/>
      <c r="D2" s="211"/>
      <c r="E2" s="211"/>
      <c r="F2" s="211"/>
      <c r="G2" s="211"/>
      <c r="H2" s="212"/>
      <c r="I2" s="211"/>
      <c r="J2" s="211"/>
      <c r="K2" s="211"/>
      <c r="L2" s="134"/>
      <c r="M2" s="212"/>
      <c r="N2" s="211"/>
    </row>
    <row r="3" ht="18.75" customHeight="1">
      <c r="A3" s="213" t="str">
        <f>"单位名称："&amp;"耿马傣族佤族自治县勐永镇"</f>
        <v>单位名称：耿马傣族佤族自治县勐永镇</v>
      </c>
      <c r="B3" s="214"/>
      <c r="C3" s="137"/>
      <c r="D3" s="214"/>
      <c r="E3" s="214"/>
      <c r="F3" s="214"/>
      <c r="G3" s="214"/>
      <c r="H3" s="208"/>
      <c r="I3" s="106"/>
      <c r="J3" s="106"/>
      <c r="K3" s="106"/>
      <c r="L3" s="191"/>
      <c r="M3" s="215"/>
      <c r="N3" s="209" t="s">
        <v>394</v>
      </c>
    </row>
    <row r="4" ht="18.75" customHeight="1">
      <c r="A4" s="155" t="s">
        <v>726</v>
      </c>
      <c r="B4" s="192" t="s">
        <v>737</v>
      </c>
      <c r="C4" s="216" t="s">
        <v>738</v>
      </c>
      <c r="D4" s="193" t="s">
        <v>413</v>
      </c>
      <c r="E4" s="193"/>
      <c r="F4" s="193"/>
      <c r="G4" s="193"/>
      <c r="H4" s="60"/>
      <c r="I4" s="193"/>
      <c r="J4" s="193"/>
      <c r="K4" s="193"/>
      <c r="L4" s="139"/>
      <c r="M4" s="60"/>
      <c r="N4" s="194"/>
    </row>
    <row r="5" ht="18.75" customHeight="1">
      <c r="A5" s="156"/>
      <c r="B5" s="195"/>
      <c r="C5" s="217"/>
      <c r="D5" s="195" t="s">
        <v>59</v>
      </c>
      <c r="E5" s="195" t="s">
        <v>62</v>
      </c>
      <c r="F5" s="195" t="s">
        <v>739</v>
      </c>
      <c r="G5" s="195" t="s">
        <v>733</v>
      </c>
      <c r="H5" s="217" t="s">
        <v>734</v>
      </c>
      <c r="I5" s="197" t="s">
        <v>82</v>
      </c>
      <c r="J5" s="197"/>
      <c r="K5" s="197"/>
      <c r="L5" s="218"/>
      <c r="M5" s="219"/>
      <c r="N5" s="200"/>
    </row>
    <row r="6" ht="27" customHeight="1">
      <c r="A6" s="63"/>
      <c r="B6" s="200"/>
      <c r="C6" s="201"/>
      <c r="D6" s="200"/>
      <c r="E6" s="200"/>
      <c r="F6" s="200"/>
      <c r="G6" s="200"/>
      <c r="H6" s="201"/>
      <c r="I6" s="200" t="s">
        <v>61</v>
      </c>
      <c r="J6" s="200" t="s">
        <v>68</v>
      </c>
      <c r="K6" s="200" t="s">
        <v>421</v>
      </c>
      <c r="L6" s="65" t="s">
        <v>70</v>
      </c>
      <c r="M6" s="201" t="s">
        <v>71</v>
      </c>
      <c r="N6" s="200" t="s">
        <v>72</v>
      </c>
    </row>
    <row r="7" ht="18.75" customHeight="1">
      <c r="A7" s="220">
        <v>1</v>
      </c>
      <c r="B7" s="220">
        <v>2</v>
      </c>
      <c r="C7" s="220">
        <v>3</v>
      </c>
      <c r="D7" s="220">
        <v>4</v>
      </c>
      <c r="E7" s="220">
        <v>5</v>
      </c>
      <c r="F7" s="220">
        <v>6</v>
      </c>
      <c r="G7" s="220">
        <v>7</v>
      </c>
      <c r="H7" s="220">
        <v>8</v>
      </c>
      <c r="I7" s="220">
        <v>9</v>
      </c>
      <c r="J7" s="220">
        <v>10</v>
      </c>
      <c r="K7" s="220">
        <v>11</v>
      </c>
      <c r="L7" s="220">
        <v>12</v>
      </c>
      <c r="M7" s="220">
        <v>13</v>
      </c>
      <c r="N7" s="220">
        <v>14</v>
      </c>
    </row>
    <row r="8" ht="18.75" customHeight="1">
      <c r="A8" s="202"/>
      <c r="B8" s="203"/>
      <c r="C8" s="18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8.75" customHeight="1">
      <c r="A9" s="221"/>
      <c r="B9" s="203"/>
      <c r="C9" s="18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8.75" customHeight="1">
      <c r="A10" s="207" t="s">
        <v>59</v>
      </c>
      <c r="B10" s="188"/>
      <c r="C10" s="22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mergeCells>
    <mergeCell ref="E5:E6"/>
    <mergeCell ref="C4:C6"/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</mergeCells>
  <extLst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59630AD-0414-F61C-897C-26AE386A4B5D}" mc:Ignorable="x14ac xr xr2 xr3">
  <sheetPr>
    <outlinePr summaryBelow="0" summaryRight="0"/>
  </sheetPr>
  <dimension ref="A1:H6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37.7109375" customWidth="1"/>
    <col min="2" max="4" width="22.8515625" customWidth="1"/>
    <col min="5" max="8" width="20.8515625" customWidth="1"/>
  </cols>
  <sheetData>
    <row r="1" ht="13.5" customHeight="1">
      <c r="A1" s="57"/>
      <c r="B1" s="57"/>
      <c r="C1" s="57"/>
      <c r="D1" s="86"/>
      <c r="H1" s="26" t="s">
        <v>740</v>
      </c>
    </row>
    <row r="2" ht="27.75" customHeight="1">
      <c r="A2" s="223" t="str">
        <f>"2025"&amp;"年县对下转移支付预算表"</f>
        <v>2025年县对下转移支付预算表</v>
      </c>
      <c r="B2" s="135"/>
      <c r="C2" s="135"/>
      <c r="D2" s="135"/>
      <c r="E2" s="135"/>
      <c r="F2" s="135"/>
      <c r="G2" s="135"/>
      <c r="H2" s="135"/>
    </row>
    <row r="3" ht="18.75" customHeight="1">
      <c r="A3" s="213" t="str">
        <f>"单位名称："&amp;"耿马傣族佤族自治县勐永镇"</f>
        <v>单位名称：耿马傣族佤族自治县勐永镇</v>
      </c>
      <c r="B3" s="214"/>
      <c r="C3" s="214"/>
      <c r="D3" s="224"/>
      <c r="E3" s="106"/>
      <c r="F3" s="106"/>
      <c r="G3" s="106"/>
      <c r="H3" s="26" t="s">
        <v>394</v>
      </c>
    </row>
    <row r="4" ht="18.75" customHeight="1">
      <c r="A4" s="8" t="s">
        <v>742</v>
      </c>
      <c r="B4" s="6" t="s">
        <v>413</v>
      </c>
      <c r="C4" s="62"/>
      <c r="D4" s="62"/>
      <c r="E4" s="6" t="s">
        <v>743</v>
      </c>
      <c r="F4" s="62"/>
      <c r="G4" s="62"/>
      <c r="H4" s="7"/>
    </row>
    <row r="5" ht="18.75" customHeight="1">
      <c r="A5" s="10"/>
      <c r="B5" s="143" t="s">
        <v>59</v>
      </c>
      <c r="C5" s="155" t="s">
        <v>62</v>
      </c>
      <c r="D5" s="225" t="s">
        <v>739</v>
      </c>
      <c r="E5" s="226" t="s">
        <v>744</v>
      </c>
      <c r="F5" s="226" t="s">
        <v>744</v>
      </c>
      <c r="G5" s="226" t="s">
        <v>744</v>
      </c>
      <c r="H5" s="227" t="s">
        <v>744</v>
      </c>
    </row>
    <row r="6" ht="18.75" customHeight="1">
      <c r="A6" s="226">
        <v>1</v>
      </c>
      <c r="B6" s="226">
        <v>2</v>
      </c>
      <c r="C6" s="226">
        <v>3</v>
      </c>
      <c r="D6" s="116">
        <v>4</v>
      </c>
      <c r="E6" s="226">
        <v>5</v>
      </c>
      <c r="F6" s="226">
        <v>6</v>
      </c>
      <c r="G6" s="226">
        <v>7</v>
      </c>
      <c r="H6" s="226">
        <v>8</v>
      </c>
    </row>
  </sheetData>
  <mergeCells>
    <mergeCell ref="A2:H2"/>
    <mergeCell ref="A4:A5"/>
    <mergeCell ref="B4:D4"/>
    <mergeCell ref="E4:H4"/>
    <mergeCell ref="A3:G3"/>
  </mergeCells>
  <extLst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EBC6EE-DA14-1E53-8A17-9B2E1A6B9266}" mc:Ignorable="x14ac xr xr2 xr3">
  <sheetPr>
    <outlinePr summaryBelow="0" summaryRight="0"/>
  </sheetPr>
  <dimension ref="A1:J5"/>
  <sheetViews>
    <sheetView showZeros="0" topLeftCell="A1" workbookViewId="0" tabSelected="1">
      <selection activeCell="A1" sqref="A1"/>
    </sheetView>
  </sheetViews>
  <sheetFormatPr defaultRowHeight="12" defaultColWidth="9.140625" customHeight="1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r="1" ht="19.5" customHeight="1">
      <c r="J1" s="26" t="s">
        <v>745</v>
      </c>
    </row>
    <row r="2" ht="36" customHeight="1">
      <c r="A2" s="52" t="str">
        <f>"2025"&amp;"年县对下转移支付绩效目标表"</f>
        <v>2025年县对下转移支付绩效目标表</v>
      </c>
      <c r="B2" s="135"/>
      <c r="C2" s="135"/>
      <c r="D2" s="135"/>
      <c r="E2" s="135"/>
      <c r="F2" s="228"/>
      <c r="G2" s="135"/>
      <c r="H2" s="228"/>
      <c r="I2" s="228"/>
      <c r="J2" s="135"/>
    </row>
    <row r="3" ht="18.75" customHeight="1">
      <c r="A3" s="163" t="str">
        <f>"单位名称："&amp;"耿马傣族佤族自治县勐永镇"</f>
        <v>单位名称：耿马傣族佤族自治县勐永镇</v>
      </c>
      <c r="B3" s="85"/>
      <c r="C3" s="85"/>
      <c r="D3" s="85"/>
      <c r="E3" s="85"/>
      <c r="F3" s="164"/>
      <c r="G3" s="85"/>
      <c r="H3" s="164"/>
    </row>
    <row r="4" ht="18.75" customHeight="1">
      <c r="A4" s="66" t="s">
        <v>618</v>
      </c>
      <c r="B4" s="66" t="s">
        <v>619</v>
      </c>
      <c r="C4" s="66" t="s">
        <v>620</v>
      </c>
      <c r="D4" s="66" t="s">
        <v>621</v>
      </c>
      <c r="E4" s="66" t="s">
        <v>622</v>
      </c>
      <c r="F4" s="165" t="s">
        <v>623</v>
      </c>
      <c r="G4" s="66" t="s">
        <v>624</v>
      </c>
      <c r="H4" s="165" t="s">
        <v>625</v>
      </c>
      <c r="I4" s="165" t="s">
        <v>626</v>
      </c>
      <c r="J4" s="66" t="s">
        <v>627</v>
      </c>
    </row>
    <row r="5" ht="18.75" customHeight="1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165">
        <v>6</v>
      </c>
      <c r="G5" s="66">
        <v>7</v>
      </c>
      <c r="H5" s="165">
        <v>8</v>
      </c>
      <c r="I5" s="165">
        <v>9</v>
      </c>
      <c r="J5" s="66">
        <v>10</v>
      </c>
    </row>
  </sheetData>
  <mergeCells>
    <mergeCell ref="A2:J2"/>
    <mergeCell ref="A3:H3"/>
  </mergeCells>
  <extLst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2AD813-C697-7DC6-746F-C5711D12DB1D}" mc:Ignorable="x14ac xr xr2 xr3">
  <sheetPr>
    <outlinePr summaryBelow="0" summaryRight="0"/>
  </sheetPr>
  <dimension ref="A1:H8"/>
  <sheetViews>
    <sheetView showZeros="0" topLeftCell="A1" workbookViewId="0" tabSelected="1">
      <selection activeCell="A1" sqref="A1"/>
    </sheetView>
  </sheetViews>
  <sheetFormatPr defaultRowHeight="12" defaultColWidth="9.140625" customHeight="1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r="1" ht="14.25" customHeight="1">
      <c r="H1" s="1" t="s">
        <v>747</v>
      </c>
    </row>
    <row r="2" ht="34.5" customHeight="1">
      <c r="A2" s="210" t="str">
        <f>"2025"&amp;"年新增资产配置表"</f>
        <v>2025年新增资产配置表</v>
      </c>
      <c r="B2" s="135"/>
      <c r="C2" s="135"/>
      <c r="D2" s="135"/>
      <c r="E2" s="135"/>
      <c r="F2" s="135"/>
      <c r="G2" s="135"/>
      <c r="H2" s="135"/>
    </row>
    <row r="3" ht="18.75" customHeight="1">
      <c r="A3" s="4" t="str">
        <f>"单位名称："&amp;"耿马傣族佤族自治县勐永镇"</f>
        <v>单位名称：耿马傣族佤族自治县勐永镇</v>
      </c>
      <c r="B3" s="154"/>
      <c r="C3" s="229"/>
      <c r="H3" s="230" t="s">
        <v>394</v>
      </c>
    </row>
    <row r="4" ht="18.75" customHeight="1">
      <c r="A4" s="155" t="s">
        <v>406</v>
      </c>
      <c r="B4" s="155" t="s">
        <v>749</v>
      </c>
      <c r="C4" s="155" t="s">
        <v>750</v>
      </c>
      <c r="D4" s="155" t="s">
        <v>751</v>
      </c>
      <c r="E4" s="155" t="s">
        <v>752</v>
      </c>
      <c r="F4" s="231" t="s">
        <v>753</v>
      </c>
      <c r="G4" s="193"/>
      <c r="H4" s="194"/>
    </row>
    <row r="5" ht="18.75" customHeight="1">
      <c r="A5" s="63"/>
      <c r="B5" s="63"/>
      <c r="C5" s="63"/>
      <c r="D5" s="63"/>
      <c r="E5" s="63"/>
      <c r="F5" s="66" t="s">
        <v>730</v>
      </c>
      <c r="G5" s="66" t="s">
        <v>754</v>
      </c>
      <c r="H5" s="66" t="s">
        <v>755</v>
      </c>
    </row>
    <row r="6" ht="18.75" customHeight="1">
      <c r="A6" s="232">
        <v>1</v>
      </c>
      <c r="B6" s="232">
        <v>2</v>
      </c>
      <c r="C6" s="232">
        <v>3</v>
      </c>
      <c r="D6" s="232">
        <v>4</v>
      </c>
      <c r="E6" s="232">
        <v>5</v>
      </c>
      <c r="F6" s="232">
        <v>6</v>
      </c>
      <c r="G6" s="233">
        <v>7</v>
      </c>
      <c r="H6" s="232">
        <v>8</v>
      </c>
    </row>
    <row r="7" ht="18.75" customHeight="1">
      <c r="A7" s="166"/>
      <c r="B7" s="166"/>
      <c r="C7" s="166"/>
      <c r="D7" s="166"/>
      <c r="E7" s="166"/>
      <c r="F7" s="234"/>
      <c r="G7" s="12"/>
      <c r="H7" s="12"/>
    </row>
    <row r="8" ht="18.75" customHeight="1">
      <c r="A8" s="103" t="s">
        <v>59</v>
      </c>
      <c r="B8" s="235"/>
      <c r="C8" s="235"/>
      <c r="D8" s="235"/>
      <c r="E8" s="235"/>
      <c r="F8" s="234"/>
      <c r="G8" s="12"/>
      <c r="H8" s="12"/>
    </row>
  </sheetData>
  <mergeCells>
    <mergeCell ref="A2:H2"/>
    <mergeCell ref="A4:A5"/>
    <mergeCell ref="C4:C5"/>
    <mergeCell ref="D4:D5"/>
    <mergeCell ref="E4:E5"/>
    <mergeCell ref="F4:H4"/>
    <mergeCell ref="B4:B5"/>
    <mergeCell ref="A3:C3"/>
    <mergeCell ref="A8:E8"/>
  </mergeCells>
  <extLst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448038-7304-4B68-5F67-A78EEA006A3A}" mc:Ignorable="x14ac xr xr2 xr3">
  <sheetPr>
    <outlinePr summaryBelow="0" summaryRight="0"/>
  </sheetPr>
  <dimension ref="A1:K10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13.421875" customWidth="1"/>
    <col min="2" max="2" width="41.01171875" customWidth="1"/>
    <col min="3" max="3" width="23.8515625" customWidth="1"/>
    <col min="4" max="4" width="11.140625" customWidth="1"/>
    <col min="5" max="5" width="33.44140625" customWidth="1"/>
    <col min="6" max="6" width="9.8515625" customWidth="1"/>
    <col min="7" max="7" width="17.7109375" customWidth="1"/>
    <col min="8" max="11" width="23.01171875" customWidth="1"/>
  </cols>
  <sheetData>
    <row r="1" ht="19.5" customHeight="1">
      <c r="D1" s="153"/>
      <c r="E1" s="153"/>
      <c r="F1" s="153"/>
      <c r="G1" s="153"/>
      <c r="H1" s="57"/>
      <c r="I1" s="57"/>
      <c r="J1" s="57"/>
      <c r="K1" s="26" t="s">
        <v>756</v>
      </c>
    </row>
    <row r="2" ht="42.75" customHeight="1">
      <c r="A2" s="2" t="str">
        <f>"2025"&amp;"年转移支付补助项目支出预算表"</f>
        <v>2025年转移支付补助项目支出预算表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ht="18.75" customHeight="1">
      <c r="A3" s="88" t="str">
        <f>"单位名称："&amp;"耿马傣族佤族自治县勐永镇"</f>
        <v>单位名称：耿马傣族佤族自治县勐永镇</v>
      </c>
      <c r="B3" s="154"/>
      <c r="C3" s="154"/>
      <c r="D3" s="154"/>
      <c r="E3" s="154"/>
      <c r="F3" s="154"/>
      <c r="G3" s="154"/>
      <c r="H3" s="138"/>
      <c r="I3" s="138"/>
      <c r="J3" s="138"/>
      <c r="K3" s="236" t="s">
        <v>394</v>
      </c>
    </row>
    <row r="4" ht="18.75" customHeight="1">
      <c r="A4" s="59" t="s">
        <v>581</v>
      </c>
      <c r="B4" s="59" t="s">
        <v>408</v>
      </c>
      <c r="C4" s="59" t="s">
        <v>582</v>
      </c>
      <c r="D4" s="155" t="s">
        <v>409</v>
      </c>
      <c r="E4" s="155" t="s">
        <v>410</v>
      </c>
      <c r="F4" s="155" t="s">
        <v>583</v>
      </c>
      <c r="G4" s="155" t="s">
        <v>584</v>
      </c>
      <c r="H4" s="8" t="s">
        <v>59</v>
      </c>
      <c r="I4" s="6" t="s">
        <v>758</v>
      </c>
      <c r="J4" s="62"/>
      <c r="K4" s="7"/>
    </row>
    <row r="5" ht="18.75" customHeight="1">
      <c r="A5" s="141"/>
      <c r="B5" s="141"/>
      <c r="C5" s="141"/>
      <c r="D5" s="156"/>
      <c r="E5" s="156"/>
      <c r="F5" s="156"/>
      <c r="G5" s="156"/>
      <c r="H5" s="143"/>
      <c r="I5" s="155" t="s">
        <v>62</v>
      </c>
      <c r="J5" s="155" t="s">
        <v>63</v>
      </c>
      <c r="K5" s="155" t="s">
        <v>64</v>
      </c>
    </row>
    <row r="6" ht="18.75" customHeight="1">
      <c r="A6" s="146"/>
      <c r="B6" s="146"/>
      <c r="C6" s="146"/>
      <c r="D6" s="63"/>
      <c r="E6" s="63"/>
      <c r="F6" s="63"/>
      <c r="G6" s="63"/>
      <c r="H6" s="10"/>
      <c r="I6" s="63" t="s">
        <v>61</v>
      </c>
      <c r="J6" s="63"/>
      <c r="K6" s="63"/>
    </row>
    <row r="7" ht="18.75" customHeigh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8">
        <v>7</v>
      </c>
      <c r="H7" s="128">
        <v>8</v>
      </c>
      <c r="I7" s="128">
        <v>9</v>
      </c>
      <c r="J7" s="127">
        <v>10</v>
      </c>
      <c r="K7" s="127">
        <v>11</v>
      </c>
    </row>
    <row r="8" ht="18.75" customHeight="1">
      <c r="A8" s="160"/>
      <c r="B8" s="150"/>
      <c r="C8" s="160"/>
      <c r="D8" s="160"/>
      <c r="E8" s="160"/>
      <c r="F8" s="160"/>
      <c r="G8" s="160"/>
      <c r="H8" s="237"/>
      <c r="I8" s="237"/>
      <c r="J8" s="237"/>
      <c r="K8" s="12"/>
    </row>
    <row r="9" ht="18.75" customHeight="1">
      <c r="A9" s="150"/>
      <c r="B9" s="150"/>
      <c r="C9" s="150"/>
      <c r="D9" s="150"/>
      <c r="E9" s="150"/>
      <c r="F9" s="150"/>
      <c r="G9" s="150"/>
      <c r="H9" s="12"/>
      <c r="I9" s="12"/>
      <c r="J9" s="12"/>
      <c r="K9" s="12"/>
    </row>
    <row r="10" ht="18.75" customHeight="1">
      <c r="A10" s="238" t="s">
        <v>59</v>
      </c>
      <c r="B10" s="238"/>
      <c r="C10" s="238"/>
      <c r="D10" s="238"/>
      <c r="E10" s="238"/>
      <c r="F10" s="238"/>
      <c r="G10" s="238"/>
      <c r="H10" s="237"/>
      <c r="I10" s="237"/>
      <c r="J10" s="237"/>
      <c r="K10" s="12"/>
    </row>
  </sheetData>
  <mergeCells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  <mergeCell ref="A10:G10"/>
  </mergeCells>
  <extLst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A5038CC-6E91-E5F4-FC8A-058246AF0141}" mc:Ignorable="x14ac xr xr2 xr3">
  <sheetPr>
    <outlinePr summaryBelow="0" summaryRight="0"/>
  </sheetPr>
  <dimension ref="A1:G22"/>
  <sheetViews>
    <sheetView showZeros="0" topLeftCell="A1" workbookViewId="0" tabSelected="1">
      <selection activeCell="A1" sqref="A1"/>
    </sheetView>
  </sheetViews>
  <sheetFormatPr defaultRowHeight="14.25" defaultColWidth="9.140625" customHeight="1"/>
  <cols>
    <col min="1" max="1" width="29.421875" customWidth="1"/>
    <col min="2" max="2" width="23.140625" customWidth="1"/>
    <col min="3" max="3" width="31.57421875" customWidth="1"/>
    <col min="4" max="4" width="16.30078125" customWidth="1"/>
    <col min="5" max="7" width="23.8515625" customWidth="1"/>
  </cols>
  <sheetData>
    <row r="1" ht="18.75" customHeight="1">
      <c r="D1" s="153"/>
      <c r="E1" s="57"/>
      <c r="F1" s="57"/>
      <c r="G1" s="236" t="s">
        <v>759</v>
      </c>
    </row>
    <row r="2" ht="36.75" customHeight="1">
      <c r="A2" s="52" t="str">
        <f>"2025"&amp;"年部门项目中期规划预算表"</f>
        <v>2025年部门项目中期规划预算表</v>
      </c>
      <c r="B2" s="135"/>
      <c r="C2" s="135"/>
      <c r="D2" s="135"/>
      <c r="E2" s="135"/>
      <c r="F2" s="135"/>
      <c r="G2" s="135"/>
    </row>
    <row r="3" ht="18.75" customHeight="1">
      <c r="A3" s="75" t="str">
        <f>"单位名称："&amp;"耿马傣族佤族自治县勐永镇"</f>
        <v>单位名称：耿马傣族佤族自治县勐永镇</v>
      </c>
      <c r="B3" s="154"/>
      <c r="C3" s="154"/>
      <c r="D3" s="154"/>
      <c r="E3" s="138"/>
      <c r="F3" s="138"/>
      <c r="G3" s="236" t="s">
        <v>394</v>
      </c>
    </row>
    <row r="4" ht="18.75" customHeight="1">
      <c r="A4" s="59" t="s">
        <v>582</v>
      </c>
      <c r="B4" s="59" t="s">
        <v>581</v>
      </c>
      <c r="C4" s="59" t="s">
        <v>408</v>
      </c>
      <c r="D4" s="155" t="s">
        <v>761</v>
      </c>
      <c r="E4" s="6" t="s">
        <v>62</v>
      </c>
      <c r="F4" s="62"/>
      <c r="G4" s="7"/>
    </row>
    <row r="5" ht="18.75" customHeight="1">
      <c r="A5" s="141"/>
      <c r="B5" s="141"/>
      <c r="C5" s="141"/>
      <c r="D5" s="156"/>
      <c r="E5" s="239" t="str">
        <f>"2025"&amp;"年"</f>
        <v>2025年</v>
      </c>
      <c r="F5" s="239" t="str">
        <f>"2025"+1&amp;"年"</f>
        <v>2026年</v>
      </c>
      <c r="G5" s="239" t="str">
        <f>"2025"+2&amp;"年"</f>
        <v>2027年</v>
      </c>
    </row>
    <row r="6" ht="18.75" customHeight="1">
      <c r="A6" s="146"/>
      <c r="B6" s="146"/>
      <c r="C6" s="146"/>
      <c r="D6" s="63"/>
      <c r="E6" s="146" t="s">
        <v>61</v>
      </c>
      <c r="F6" s="146"/>
      <c r="G6" s="146"/>
    </row>
    <row r="7" ht="18.75" customHeigh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7">
        <v>7</v>
      </c>
    </row>
    <row r="8" ht="18.75" customHeight="1">
      <c r="A8" s="150" t="s">
        <v>423</v>
      </c>
      <c r="B8" s="240"/>
      <c r="C8" s="240"/>
      <c r="D8" s="152"/>
      <c r="E8" s="12">
        <v>661500</v>
      </c>
      <c r="F8" s="12"/>
      <c r="G8" s="12"/>
    </row>
    <row r="9" ht="18.75" customHeight="1">
      <c r="A9" s="241" t="s">
        <v>74</v>
      </c>
      <c r="B9" s="150"/>
      <c r="C9" s="150"/>
      <c r="D9" s="152"/>
      <c r="E9" s="12">
        <v>661500</v>
      </c>
      <c r="F9" s="12"/>
      <c r="G9" s="12"/>
    </row>
    <row r="10" ht="18.75" customHeight="1">
      <c r="A10" s="151"/>
      <c r="B10" s="150" t="s">
        <v>765</v>
      </c>
      <c r="C10" s="150" t="s">
        <v>587</v>
      </c>
      <c r="D10" s="152" t="s">
        <v>766</v>
      </c>
      <c r="E10" s="12">
        <v>30000</v>
      </c>
      <c r="F10" s="12"/>
      <c r="G10" s="12"/>
    </row>
    <row r="11" ht="18.75" customHeight="1">
      <c r="A11" s="151"/>
      <c r="B11" s="150" t="s">
        <v>765</v>
      </c>
      <c r="C11" s="150" t="s">
        <v>592</v>
      </c>
      <c r="D11" s="152" t="s">
        <v>766</v>
      </c>
      <c r="E11" s="12">
        <v>100000</v>
      </c>
      <c r="F11" s="12"/>
      <c r="G11" s="12"/>
    </row>
    <row r="12" ht="18.75" customHeight="1">
      <c r="A12" s="151"/>
      <c r="B12" s="150" t="s">
        <v>765</v>
      </c>
      <c r="C12" s="150" t="s">
        <v>599</v>
      </c>
      <c r="D12" s="152" t="s">
        <v>766</v>
      </c>
      <c r="E12" s="12">
        <v>40000</v>
      </c>
      <c r="F12" s="12"/>
      <c r="G12" s="12"/>
    </row>
    <row r="13" ht="18.75" customHeight="1">
      <c r="A13" s="151"/>
      <c r="B13" s="150" t="s">
        <v>765</v>
      </c>
      <c r="C13" s="150" t="s">
        <v>601</v>
      </c>
      <c r="D13" s="152" t="s">
        <v>766</v>
      </c>
      <c r="E13" s="12">
        <v>31500</v>
      </c>
      <c r="F13" s="12"/>
      <c r="G13" s="12"/>
    </row>
    <row r="14" ht="18.75" customHeight="1">
      <c r="A14" s="151"/>
      <c r="B14" s="150" t="s">
        <v>767</v>
      </c>
      <c r="C14" s="150" t="s">
        <v>611</v>
      </c>
      <c r="D14" s="152" t="s">
        <v>766</v>
      </c>
      <c r="E14" s="12">
        <v>200000</v>
      </c>
      <c r="F14" s="12"/>
      <c r="G14" s="12"/>
    </row>
    <row r="15" ht="18.75" customHeight="1">
      <c r="A15" s="151"/>
      <c r="B15" s="150" t="s">
        <v>767</v>
      </c>
      <c r="C15" s="150" t="s">
        <v>603</v>
      </c>
      <c r="D15" s="152" t="s">
        <v>766</v>
      </c>
      <c r="E15" s="12">
        <v>10000</v>
      </c>
      <c r="F15" s="12"/>
      <c r="G15" s="12"/>
    </row>
    <row r="16" ht="18.75" customHeight="1">
      <c r="A16" s="151"/>
      <c r="B16" s="150" t="s">
        <v>767</v>
      </c>
      <c r="C16" s="150" t="s">
        <v>614</v>
      </c>
      <c r="D16" s="152" t="s">
        <v>766</v>
      </c>
      <c r="E16" s="12">
        <v>30000</v>
      </c>
      <c r="F16" s="12"/>
      <c r="G16" s="12"/>
    </row>
    <row r="17" ht="18.75" customHeight="1">
      <c r="A17" s="151"/>
      <c r="B17" s="150" t="s">
        <v>767</v>
      </c>
      <c r="C17" s="150" t="s">
        <v>609</v>
      </c>
      <c r="D17" s="152" t="s">
        <v>766</v>
      </c>
      <c r="E17" s="12">
        <v>70000</v>
      </c>
      <c r="F17" s="12"/>
      <c r="G17" s="12"/>
    </row>
    <row r="18" ht="18.75" customHeight="1">
      <c r="A18" s="151"/>
      <c r="B18" s="150" t="s">
        <v>767</v>
      </c>
      <c r="C18" s="150" t="s">
        <v>607</v>
      </c>
      <c r="D18" s="152" t="s">
        <v>766</v>
      </c>
      <c r="E18" s="12">
        <v>47000</v>
      </c>
      <c r="F18" s="12"/>
      <c r="G18" s="12"/>
    </row>
    <row r="19" ht="18.75" customHeight="1">
      <c r="A19" s="151"/>
      <c r="B19" s="150" t="s">
        <v>767</v>
      </c>
      <c r="C19" s="150" t="s">
        <v>594</v>
      </c>
      <c r="D19" s="152" t="s">
        <v>766</v>
      </c>
      <c r="E19" s="12">
        <v>60000</v>
      </c>
      <c r="F19" s="12"/>
      <c r="G19" s="12"/>
    </row>
    <row r="20" ht="18.75" customHeight="1">
      <c r="A20" s="151"/>
      <c r="B20" s="150" t="s">
        <v>767</v>
      </c>
      <c r="C20" s="150" t="s">
        <v>597</v>
      </c>
      <c r="D20" s="152" t="s">
        <v>766</v>
      </c>
      <c r="E20" s="12">
        <v>40000</v>
      </c>
      <c r="F20" s="12"/>
      <c r="G20" s="12"/>
    </row>
    <row r="21" ht="18.75" customHeight="1">
      <c r="A21" s="151"/>
      <c r="B21" s="150" t="s">
        <v>767</v>
      </c>
      <c r="C21" s="150" t="s">
        <v>605</v>
      </c>
      <c r="D21" s="152" t="s">
        <v>766</v>
      </c>
      <c r="E21" s="12">
        <v>3000</v>
      </c>
      <c r="F21" s="12"/>
      <c r="G21" s="12"/>
    </row>
    <row r="22" ht="18.75" customHeight="1">
      <c r="A22" s="152" t="s">
        <v>59</v>
      </c>
      <c r="B22" s="188"/>
      <c r="C22" s="188"/>
      <c r="D22" s="188"/>
      <c r="E22" s="12">
        <v>661500</v>
      </c>
      <c r="F22" s="12"/>
      <c r="G22" s="12"/>
    </row>
  </sheetData>
  <mergeCells>
    <mergeCell ref="B4:B6"/>
    <mergeCell ref="C4:C6"/>
    <mergeCell ref="A4:A6"/>
    <mergeCell ref="E5:E6"/>
    <mergeCell ref="D4:D6"/>
    <mergeCell ref="A2:G2"/>
    <mergeCell ref="A3:D3"/>
    <mergeCell ref="E4:G4"/>
    <mergeCell ref="F5:F6"/>
    <mergeCell ref="G5:G6"/>
    <mergeCell ref="A22:D22"/>
  </mergeCells>
  <extLst/>
</worksheet>
</file>